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23250" windowHeight="12555"/>
  </bookViews>
  <sheets>
    <sheet name="2016년" sheetId="1" r:id="rId1"/>
  </sheets>
  <definedNames>
    <definedName name="_xlnm._FilterDatabase" localSheetId="0" hidden="1">'2016년'!$A$2:$S$223</definedName>
    <definedName name="_xlnm.Print_Area" localSheetId="0">'2016년'!$A$1:$AA$212</definedName>
    <definedName name="_xlnm.Print_Titles" localSheetId="0">'2016년'!$1:$2</definedName>
  </definedNames>
  <calcPr calcId="144525"/>
</workbook>
</file>

<file path=xl/calcChain.xml><?xml version="1.0" encoding="utf-8"?>
<calcChain xmlns="http://schemas.openxmlformats.org/spreadsheetml/2006/main">
  <c r="X32" i="1" l="1"/>
  <c r="A166" i="1"/>
  <c r="A169" i="1"/>
  <c r="A215" i="1" l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8" i="1"/>
  <c r="A167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V68" i="1"/>
  <c r="A67" i="1"/>
  <c r="A66" i="1"/>
  <c r="A65" i="1"/>
  <c r="A64" i="1"/>
  <c r="A63" i="1"/>
  <c r="A62" i="1"/>
  <c r="A61" i="1"/>
  <c r="W61" i="1"/>
  <c r="A60" i="1"/>
  <c r="W60" i="1"/>
  <c r="A59" i="1"/>
  <c r="W59" i="1"/>
  <c r="A58" i="1"/>
  <c r="W58" i="1"/>
  <c r="A57" i="1"/>
  <c r="W57" i="1"/>
  <c r="A56" i="1"/>
  <c r="A55" i="1"/>
  <c r="A54" i="1"/>
  <c r="A53" i="1"/>
  <c r="W53" i="1"/>
  <c r="A52" i="1"/>
  <c r="W52" i="1"/>
  <c r="A51" i="1"/>
  <c r="A50" i="1"/>
  <c r="A49" i="1"/>
  <c r="A48" i="1"/>
  <c r="AA48" i="1"/>
  <c r="Z48" i="1"/>
  <c r="Y48" i="1"/>
  <c r="X48" i="1"/>
  <c r="W48" i="1"/>
  <c r="A47" i="1"/>
  <c r="AA47" i="1"/>
  <c r="Z47" i="1"/>
  <c r="Y47" i="1"/>
  <c r="X47" i="1"/>
  <c r="W47" i="1"/>
  <c r="A46" i="1"/>
  <c r="AA46" i="1"/>
  <c r="Z46" i="1"/>
  <c r="Y46" i="1"/>
  <c r="X46" i="1"/>
  <c r="W46" i="1"/>
  <c r="A45" i="1"/>
  <c r="AA45" i="1"/>
  <c r="Z45" i="1"/>
  <c r="Y45" i="1"/>
  <c r="X45" i="1"/>
  <c r="W45" i="1"/>
  <c r="A44" i="1"/>
  <c r="AA44" i="1"/>
  <c r="Z44" i="1"/>
  <c r="Y44" i="1"/>
  <c r="X44" i="1"/>
  <c r="W44" i="1"/>
  <c r="A43" i="1"/>
  <c r="AA43" i="1"/>
  <c r="Z43" i="1"/>
  <c r="Y43" i="1"/>
  <c r="X43" i="1"/>
  <c r="W43" i="1"/>
  <c r="A42" i="1"/>
  <c r="AA42" i="1"/>
  <c r="Z42" i="1"/>
  <c r="Y42" i="1"/>
  <c r="X42" i="1"/>
  <c r="W42" i="1"/>
  <c r="A41" i="1"/>
  <c r="AA41" i="1"/>
  <c r="Z41" i="1"/>
  <c r="Y41" i="1"/>
  <c r="X41" i="1"/>
  <c r="W41" i="1"/>
  <c r="A40" i="1"/>
  <c r="AA40" i="1"/>
  <c r="Z40" i="1"/>
  <c r="Y40" i="1"/>
  <c r="X40" i="1"/>
  <c r="W40" i="1"/>
  <c r="A39" i="1"/>
  <c r="AA39" i="1"/>
  <c r="Z39" i="1"/>
  <c r="Y39" i="1"/>
  <c r="X39" i="1"/>
  <c r="W39" i="1"/>
  <c r="A38" i="1"/>
  <c r="AA38" i="1"/>
  <c r="Z38" i="1"/>
  <c r="Y38" i="1"/>
  <c r="X38" i="1"/>
  <c r="W38" i="1"/>
  <c r="A37" i="1"/>
  <c r="AA37" i="1"/>
  <c r="Z37" i="1"/>
  <c r="Y37" i="1"/>
  <c r="X37" i="1"/>
  <c r="W37" i="1"/>
  <c r="A36" i="1"/>
  <c r="A35" i="1"/>
  <c r="A34" i="1"/>
  <c r="A33" i="1"/>
  <c r="A32" i="1"/>
  <c r="X31" i="1"/>
  <c r="Y31" i="1" s="1"/>
  <c r="A31" i="1"/>
  <c r="X30" i="1"/>
  <c r="AA30" i="1" s="1"/>
  <c r="A30" i="1"/>
  <c r="X29" i="1"/>
  <c r="AA29" i="1" s="1"/>
  <c r="A29" i="1"/>
  <c r="X28" i="1"/>
  <c r="AA28" i="1" s="1"/>
  <c r="A28" i="1"/>
  <c r="X27" i="1"/>
  <c r="AA27" i="1" s="1"/>
  <c r="A27" i="1"/>
  <c r="X26" i="1"/>
  <c r="AA26" i="1" s="1"/>
  <c r="A26" i="1"/>
  <c r="X25" i="1"/>
  <c r="AA25" i="1" s="1"/>
  <c r="A25" i="1"/>
  <c r="X24" i="1"/>
  <c r="AA24" i="1" s="1"/>
  <c r="A24" i="1"/>
  <c r="X23" i="1"/>
  <c r="AA23" i="1" s="1"/>
  <c r="A23" i="1"/>
  <c r="X22" i="1"/>
  <c r="AA22" i="1" s="1"/>
  <c r="A22" i="1"/>
  <c r="X21" i="1"/>
  <c r="AA21" i="1" s="1"/>
  <c r="A21" i="1"/>
  <c r="X20" i="1"/>
  <c r="AA20" i="1" s="1"/>
  <c r="A20" i="1"/>
  <c r="X19" i="1"/>
  <c r="AA19" i="1" s="1"/>
  <c r="A19" i="1"/>
  <c r="X18" i="1"/>
  <c r="AA18" i="1" s="1"/>
  <c r="A18" i="1"/>
  <c r="X17" i="1"/>
  <c r="AA17" i="1" s="1"/>
  <c r="A17" i="1"/>
  <c r="X16" i="1"/>
  <c r="AA16" i="1" s="1"/>
  <c r="A16" i="1"/>
  <c r="X15" i="1"/>
  <c r="AA15" i="1" s="1"/>
  <c r="A15" i="1"/>
  <c r="X14" i="1"/>
  <c r="AA14" i="1" s="1"/>
  <c r="A14" i="1"/>
  <c r="X13" i="1"/>
  <c r="AA13" i="1" s="1"/>
  <c r="A13" i="1"/>
  <c r="X12" i="1"/>
  <c r="AA12" i="1" s="1"/>
  <c r="A12" i="1"/>
  <c r="X11" i="1"/>
  <c r="AA11" i="1" s="1"/>
  <c r="A11" i="1"/>
  <c r="X10" i="1"/>
  <c r="AA10" i="1" s="1"/>
  <c r="A10" i="1"/>
  <c r="X9" i="1"/>
  <c r="AA9" i="1" s="1"/>
  <c r="A9" i="1"/>
  <c r="X8" i="1"/>
  <c r="AA8" i="1" s="1"/>
  <c r="A8" i="1"/>
  <c r="X7" i="1"/>
  <c r="AA7" i="1" s="1"/>
  <c r="A7" i="1"/>
  <c r="X6" i="1"/>
  <c r="AA6" i="1" s="1"/>
  <c r="A6" i="1"/>
  <c r="X5" i="1"/>
  <c r="AA5" i="1" s="1"/>
  <c r="A5" i="1"/>
  <c r="X4" i="1"/>
  <c r="AA4" i="1" s="1"/>
  <c r="A4" i="1"/>
  <c r="X3" i="1"/>
  <c r="A3" i="1"/>
  <c r="X33" i="1" l="1"/>
  <c r="W54" i="1"/>
  <c r="X52" i="1" s="1"/>
  <c r="W62" i="1"/>
  <c r="Y49" i="1"/>
  <c r="AA49" i="1"/>
  <c r="X49" i="1"/>
  <c r="W49" i="1"/>
  <c r="Z49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AA3" i="1"/>
  <c r="AA33" i="1" s="1"/>
  <c r="X53" i="1" l="1"/>
  <c r="X54" i="1" s="1"/>
  <c r="Y33" i="1"/>
</calcChain>
</file>

<file path=xl/sharedStrings.xml><?xml version="1.0" encoding="utf-8"?>
<sst xmlns="http://schemas.openxmlformats.org/spreadsheetml/2006/main" count="2039" uniqueCount="441">
  <si>
    <t>2016년 부산항 크루즈선 입항 스케쥴 및 선석배정계획</t>
    <phoneticPr fontId="5" type="noConversion"/>
  </si>
  <si>
    <t>연번</t>
    <phoneticPr fontId="5" type="noConversion"/>
  </si>
  <si>
    <t>선명</t>
    <phoneticPr fontId="5" type="noConversion"/>
  </si>
  <si>
    <t>선사</t>
    <phoneticPr fontId="5" type="noConversion"/>
  </si>
  <si>
    <t>국적</t>
    <phoneticPr fontId="5" type="noConversion"/>
  </si>
  <si>
    <t>GT</t>
    <phoneticPr fontId="5" type="noConversion"/>
  </si>
  <si>
    <t>Length(m)</t>
    <phoneticPr fontId="5" type="noConversion"/>
  </si>
  <si>
    <t>Air
Draft(m)</t>
    <phoneticPr fontId="5" type="noConversion"/>
  </si>
  <si>
    <t>Water Draft(m)</t>
    <phoneticPr fontId="5" type="noConversion"/>
  </si>
  <si>
    <t>입항예정일</t>
    <phoneticPr fontId="5" type="noConversion"/>
  </si>
  <si>
    <t>접안시간</t>
    <phoneticPr fontId="5" type="noConversion"/>
  </si>
  <si>
    <t>출항예정일</t>
    <phoneticPr fontId="5" type="noConversion"/>
  </si>
  <si>
    <t>이안시간</t>
    <phoneticPr fontId="5" type="noConversion"/>
  </si>
  <si>
    <t>승객수</t>
    <phoneticPr fontId="5" type="noConversion"/>
  </si>
  <si>
    <t>전항지</t>
    <phoneticPr fontId="5" type="noConversion"/>
  </si>
  <si>
    <t>차항지</t>
    <phoneticPr fontId="5" type="noConversion"/>
  </si>
  <si>
    <t>대리점명</t>
  </si>
  <si>
    <t>연락처</t>
    <phoneticPr fontId="5" type="noConversion"/>
  </si>
  <si>
    <t>접안선석</t>
    <phoneticPr fontId="4" type="noConversion"/>
  </si>
  <si>
    <t>Remarks</t>
    <phoneticPr fontId="5" type="noConversion"/>
  </si>
  <si>
    <t>선박명</t>
    <phoneticPr fontId="5" type="noConversion"/>
  </si>
  <si>
    <t>총톤수</t>
    <phoneticPr fontId="5" type="noConversion"/>
  </si>
  <si>
    <t>입항횟수</t>
    <phoneticPr fontId="5" type="noConversion"/>
  </si>
  <si>
    <t>전체 톤수</t>
    <phoneticPr fontId="5" type="noConversion"/>
  </si>
  <si>
    <t>평균승객수</t>
    <phoneticPr fontId="5" type="noConversion"/>
  </si>
  <si>
    <t>예상</t>
    <phoneticPr fontId="5" type="noConversion"/>
  </si>
  <si>
    <t>Quantum of the Seas</t>
    <phoneticPr fontId="5" type="noConversion"/>
  </si>
  <si>
    <t>RCI</t>
    <phoneticPr fontId="5" type="noConversion"/>
  </si>
  <si>
    <t>Bahamas</t>
    <phoneticPr fontId="5" type="noConversion"/>
  </si>
  <si>
    <t>2016-01-02 (토)</t>
    <phoneticPr fontId="5" type="noConversion"/>
  </si>
  <si>
    <t>Kumamoto, Japan</t>
    <phoneticPr fontId="5" type="noConversion"/>
  </si>
  <si>
    <t>Shanghai(Baoshan), China</t>
    <phoneticPr fontId="5" type="noConversion"/>
  </si>
  <si>
    <t>유니해운</t>
    <phoneticPr fontId="5" type="noConversion"/>
  </si>
  <si>
    <t>462-3531</t>
    <phoneticPr fontId="5" type="noConversion"/>
  </si>
  <si>
    <t>감만3번</t>
  </si>
  <si>
    <t>Quantum of the Seas</t>
  </si>
  <si>
    <t>2016-01-08 (금)</t>
    <phoneticPr fontId="5" type="noConversion"/>
  </si>
  <si>
    <t>Nagasaki, Japan</t>
    <phoneticPr fontId="5" type="noConversion"/>
  </si>
  <si>
    <t>Sapphire Princess</t>
  </si>
  <si>
    <t>SKYSEA GOLDEN ERA</t>
    <phoneticPr fontId="5" type="noConversion"/>
  </si>
  <si>
    <t>SKYSEA CRUISE</t>
    <phoneticPr fontId="5" type="noConversion"/>
  </si>
  <si>
    <t>Malta</t>
    <phoneticPr fontId="5" type="noConversion"/>
  </si>
  <si>
    <t>2016-01-11 (월)</t>
    <phoneticPr fontId="5" type="noConversion"/>
  </si>
  <si>
    <t>Beppu, Japan</t>
    <phoneticPr fontId="5" type="noConversion"/>
  </si>
  <si>
    <t>Shanghai, China</t>
    <phoneticPr fontId="5" type="noConversion"/>
  </si>
  <si>
    <t>부산항국제14번</t>
  </si>
  <si>
    <t>모항</t>
    <phoneticPr fontId="5" type="noConversion"/>
  </si>
  <si>
    <t>MSC Lirica</t>
  </si>
  <si>
    <t>Costa Atlantica</t>
    <phoneticPr fontId="5" type="noConversion"/>
  </si>
  <si>
    <t>Costa Cruises</t>
    <phoneticPr fontId="4" type="noConversion"/>
  </si>
  <si>
    <t>Italy</t>
    <phoneticPr fontId="5" type="noConversion"/>
  </si>
  <si>
    <t>2016-01-24 (일)</t>
    <phoneticPr fontId="4" type="noConversion"/>
  </si>
  <si>
    <t>Tianjin, China</t>
    <phoneticPr fontId="5" type="noConversion"/>
  </si>
  <si>
    <t>Fukuoka, Japan</t>
    <phoneticPr fontId="5" type="noConversion"/>
  </si>
  <si>
    <t>동방선박</t>
    <phoneticPr fontId="4" type="noConversion"/>
  </si>
  <si>
    <t>463-0511</t>
    <phoneticPr fontId="5" type="noConversion"/>
  </si>
  <si>
    <t>영도</t>
    <phoneticPr fontId="4" type="noConversion"/>
  </si>
  <si>
    <t>제주기상악화 피항</t>
    <phoneticPr fontId="4" type="noConversion"/>
  </si>
  <si>
    <t>Ovation of the Seas</t>
  </si>
  <si>
    <t>2016-01-25 (월)</t>
    <phoneticPr fontId="5" type="noConversion"/>
  </si>
  <si>
    <t>Costa Victoria</t>
  </si>
  <si>
    <t>2016-01-29 (금)</t>
    <phoneticPr fontId="4" type="noConversion"/>
  </si>
  <si>
    <t>Diamond Princess</t>
  </si>
  <si>
    <t>2016-01-31 (일)</t>
    <phoneticPr fontId="5" type="noConversion"/>
  </si>
  <si>
    <t>2016-02-05 (금)</t>
    <phoneticPr fontId="5" type="noConversion"/>
  </si>
  <si>
    <t>Okinawa, Japan</t>
    <phoneticPr fontId="5" type="noConversion"/>
  </si>
  <si>
    <t>Mariner of the Seas</t>
    <phoneticPr fontId="5" type="noConversion"/>
  </si>
  <si>
    <t>2016-02-06 (토)</t>
    <phoneticPr fontId="5" type="noConversion"/>
  </si>
  <si>
    <t>Jeju Island, Korea</t>
    <phoneticPr fontId="5" type="noConversion"/>
  </si>
  <si>
    <t>Golden Princess</t>
  </si>
  <si>
    <t>2016-02-18 (목)</t>
    <phoneticPr fontId="5" type="noConversion"/>
  </si>
  <si>
    <t>Legend of the Seas</t>
  </si>
  <si>
    <t>2016-02-24 (수)</t>
    <phoneticPr fontId="5" type="noConversion"/>
  </si>
  <si>
    <t>Costa Atlantica</t>
  </si>
  <si>
    <t>2016-02-28 (일)</t>
    <phoneticPr fontId="5" type="noConversion"/>
  </si>
  <si>
    <t>Costa Fortuna</t>
  </si>
  <si>
    <t>2016-03-08 (화)</t>
    <phoneticPr fontId="5" type="noConversion"/>
  </si>
  <si>
    <t>Chinese Taishan</t>
    <phoneticPr fontId="4" type="noConversion"/>
  </si>
  <si>
    <t>Queen Elizabeth</t>
    <phoneticPr fontId="5" type="noConversion"/>
  </si>
  <si>
    <t>Cunard</t>
    <phoneticPr fontId="5" type="noConversion"/>
  </si>
  <si>
    <t>British</t>
    <phoneticPr fontId="5" type="noConversion"/>
  </si>
  <si>
    <t>2016-03-15 (화)</t>
  </si>
  <si>
    <t>Jeju Island, Korea</t>
  </si>
  <si>
    <t>협성해운</t>
    <phoneticPr fontId="4" type="noConversion"/>
  </si>
  <si>
    <t>463-1451</t>
    <phoneticPr fontId="5" type="noConversion"/>
  </si>
  <si>
    <t>M.V. SOLEAL</t>
    <phoneticPr fontId="5" type="noConversion"/>
  </si>
  <si>
    <t>MS ARTANIA</t>
    <phoneticPr fontId="5" type="noConversion"/>
  </si>
  <si>
    <t>V-SHIP LEISURE</t>
    <phoneticPr fontId="5" type="noConversion"/>
  </si>
  <si>
    <t>Bermuda</t>
    <phoneticPr fontId="5" type="noConversion"/>
  </si>
  <si>
    <t>2016-03-20 (일)</t>
    <phoneticPr fontId="5" type="noConversion"/>
  </si>
  <si>
    <t>Vladivostok, Russia</t>
    <phoneticPr fontId="5" type="noConversion"/>
  </si>
  <si>
    <t>아스트로해운</t>
    <phoneticPr fontId="5" type="noConversion"/>
  </si>
  <si>
    <t>462-0741</t>
    <phoneticPr fontId="5" type="noConversion"/>
  </si>
  <si>
    <t>Asuka Ⅱ</t>
    <phoneticPr fontId="5" type="noConversion"/>
  </si>
  <si>
    <t>2016-03-22 (화)</t>
    <phoneticPr fontId="5" type="noConversion"/>
  </si>
  <si>
    <t>Costa Serena</t>
  </si>
  <si>
    <t>Sea Princess</t>
    <phoneticPr fontId="5" type="noConversion"/>
  </si>
  <si>
    <t>Princess Cruises</t>
    <phoneticPr fontId="5" type="noConversion"/>
  </si>
  <si>
    <t>2016-03-23 (수)</t>
    <phoneticPr fontId="5" type="noConversion"/>
  </si>
  <si>
    <t>Maizuru, Japan</t>
    <phoneticPr fontId="5" type="noConversion"/>
  </si>
  <si>
    <t>Celebrity Millennium</t>
    <phoneticPr fontId="5" type="noConversion"/>
  </si>
  <si>
    <t>Arcadia</t>
    <phoneticPr fontId="5" type="noConversion"/>
  </si>
  <si>
    <t>P&amp;O Cruises</t>
    <phoneticPr fontId="5" type="noConversion"/>
  </si>
  <si>
    <t>2016-03-25 (금)</t>
  </si>
  <si>
    <t>MV OCEAN DREAM</t>
    <phoneticPr fontId="5" type="noConversion"/>
  </si>
  <si>
    <t>Seabourn Sojourn</t>
  </si>
  <si>
    <t xml:space="preserve">Holland America </t>
  </si>
  <si>
    <t>Netherlands</t>
  </si>
  <si>
    <t>2016-03-25 (금)</t>
    <phoneticPr fontId="5" type="noConversion"/>
  </si>
  <si>
    <t>Shanghai, China</t>
  </si>
  <si>
    <t>Nagasaki, Japan</t>
  </si>
  <si>
    <t>동방선박</t>
    <phoneticPr fontId="5" type="noConversion"/>
  </si>
  <si>
    <t>Pacific Venus</t>
  </si>
  <si>
    <t>2016-03-31 (목)</t>
    <phoneticPr fontId="5" type="noConversion"/>
  </si>
  <si>
    <t>Sea Princess</t>
  </si>
  <si>
    <t>Sapphire Princess</t>
    <phoneticPr fontId="5" type="noConversion"/>
  </si>
  <si>
    <t>British</t>
  </si>
  <si>
    <t>2016-04-06 (수)</t>
  </si>
  <si>
    <t>Queen Elizabeth</t>
  </si>
  <si>
    <t>M.V.Crystal Sernity</t>
    <phoneticPr fontId="5" type="noConversion"/>
  </si>
  <si>
    <t>Crystal Cruise Line</t>
    <phoneticPr fontId="5" type="noConversion"/>
  </si>
  <si>
    <t>2016-04-09 (토)</t>
    <phoneticPr fontId="5" type="noConversion"/>
  </si>
  <si>
    <t>윌헵슨협운쉽스</t>
    <phoneticPr fontId="5" type="noConversion"/>
  </si>
  <si>
    <t>465-0146</t>
    <phoneticPr fontId="5" type="noConversion"/>
  </si>
  <si>
    <t>Arcadia</t>
  </si>
  <si>
    <t>2016-04-10 (일)</t>
    <phoneticPr fontId="5" type="noConversion"/>
  </si>
  <si>
    <t>NYK</t>
    <phoneticPr fontId="5" type="noConversion"/>
  </si>
  <si>
    <t>Japan</t>
    <phoneticPr fontId="5" type="noConversion"/>
  </si>
  <si>
    <t>2016-04-11 (월)</t>
    <phoneticPr fontId="5" type="noConversion"/>
  </si>
  <si>
    <t>Hakata, Japan</t>
    <phoneticPr fontId="5" type="noConversion"/>
  </si>
  <si>
    <t>Niigata, Japan</t>
    <phoneticPr fontId="5" type="noConversion"/>
  </si>
  <si>
    <t>660-8820</t>
    <phoneticPr fontId="5" type="noConversion"/>
  </si>
  <si>
    <t>Compagine du ponant</t>
    <phoneticPr fontId="5" type="noConversion"/>
  </si>
  <si>
    <t>프랑스</t>
    <phoneticPr fontId="5" type="noConversion"/>
  </si>
  <si>
    <t>2016-04-12 (화)</t>
    <phoneticPr fontId="5" type="noConversion"/>
  </si>
  <si>
    <t>CMA CGM</t>
    <phoneticPr fontId="5" type="noConversion"/>
  </si>
  <si>
    <t>460-5701</t>
    <phoneticPr fontId="5" type="noConversion"/>
  </si>
  <si>
    <t>MS SILVER SHADOW</t>
    <phoneticPr fontId="5" type="noConversion"/>
  </si>
  <si>
    <t>2016-04-16 (토)</t>
    <phoneticPr fontId="5" type="noConversion"/>
  </si>
  <si>
    <t>SUPERSTAR LIBRA</t>
    <phoneticPr fontId="5" type="noConversion"/>
  </si>
  <si>
    <t>2016-04-21 (목)</t>
    <phoneticPr fontId="4" type="noConversion"/>
  </si>
  <si>
    <t>462-3531</t>
    <phoneticPr fontId="4" type="noConversion"/>
  </si>
  <si>
    <t>SUN PRINCESS</t>
    <phoneticPr fontId="5" type="noConversion"/>
  </si>
  <si>
    <t>2016-04-22 (금)</t>
    <phoneticPr fontId="5" type="noConversion"/>
  </si>
  <si>
    <t>Glory of the Seas</t>
    <phoneticPr fontId="5" type="noConversion"/>
  </si>
  <si>
    <t>Diamond Princess</t>
    <phoneticPr fontId="5" type="noConversion"/>
  </si>
  <si>
    <t>England</t>
    <phoneticPr fontId="5" type="noConversion"/>
  </si>
  <si>
    <t>2016-04-27 (수)</t>
    <phoneticPr fontId="5" type="noConversion"/>
  </si>
  <si>
    <t>Yokohama, Japan</t>
    <phoneticPr fontId="5" type="noConversion"/>
  </si>
  <si>
    <t>2016-04-28 (목)</t>
    <phoneticPr fontId="5" type="noConversion"/>
  </si>
  <si>
    <t>2016-04-30 (토)</t>
    <phoneticPr fontId="5" type="noConversion"/>
  </si>
  <si>
    <t>2016-05-02 (월)</t>
    <phoneticPr fontId="5" type="noConversion"/>
  </si>
  <si>
    <t>Kobe, Japan</t>
    <phoneticPr fontId="5" type="noConversion"/>
  </si>
  <si>
    <t>입항월</t>
    <phoneticPr fontId="5" type="noConversion"/>
  </si>
  <si>
    <t>계</t>
    <phoneticPr fontId="5" type="noConversion"/>
  </si>
  <si>
    <t>영도</t>
    <phoneticPr fontId="5" type="noConversion"/>
  </si>
  <si>
    <t>부산항국제부산항국제14번</t>
  </si>
  <si>
    <t>부산항국제1,2번</t>
  </si>
  <si>
    <t>Costa Cruises</t>
  </si>
  <si>
    <t>Italy</t>
  </si>
  <si>
    <t>1월</t>
    <phoneticPr fontId="5" type="noConversion"/>
  </si>
  <si>
    <t>부산항국제2번</t>
  </si>
  <si>
    <t>2월</t>
    <phoneticPr fontId="5" type="noConversion"/>
  </si>
  <si>
    <t>2016-05-05 (목)</t>
    <phoneticPr fontId="4" type="noConversion"/>
  </si>
  <si>
    <t>Fukuoka, Japan</t>
    <phoneticPr fontId="4" type="noConversion"/>
  </si>
  <si>
    <t>3월</t>
    <phoneticPr fontId="5" type="noConversion"/>
  </si>
  <si>
    <t>2016-05-05 (목)</t>
    <phoneticPr fontId="5" type="noConversion"/>
  </si>
  <si>
    <t>4월</t>
    <phoneticPr fontId="5" type="noConversion"/>
  </si>
  <si>
    <t>2016-05-06 (금)</t>
    <phoneticPr fontId="5" type="noConversion"/>
  </si>
  <si>
    <t>협성해운</t>
    <phoneticPr fontId="5" type="noConversion"/>
  </si>
  <si>
    <t>5월</t>
    <phoneticPr fontId="5" type="noConversion"/>
  </si>
  <si>
    <t>2016-05-10 (화)</t>
  </si>
  <si>
    <t>6월</t>
    <phoneticPr fontId="5" type="noConversion"/>
  </si>
  <si>
    <t>2016-05-10 (화)</t>
    <phoneticPr fontId="5" type="noConversion"/>
  </si>
  <si>
    <t>Sasebo, Japan</t>
    <phoneticPr fontId="5" type="noConversion"/>
  </si>
  <si>
    <t>7월</t>
    <phoneticPr fontId="5" type="noConversion"/>
  </si>
  <si>
    <t>Pacific Venus</t>
    <phoneticPr fontId="5" type="noConversion"/>
  </si>
  <si>
    <t>Japan Cruise Line</t>
    <phoneticPr fontId="5" type="noConversion"/>
  </si>
  <si>
    <t>463-3531</t>
    <phoneticPr fontId="5" type="noConversion"/>
  </si>
  <si>
    <t>8월</t>
    <phoneticPr fontId="5" type="noConversion"/>
  </si>
  <si>
    <t>MSC Lirica</t>
    <phoneticPr fontId="5" type="noConversion"/>
  </si>
  <si>
    <t>MSC</t>
    <phoneticPr fontId="5" type="noConversion"/>
  </si>
  <si>
    <t>Switzerland</t>
    <phoneticPr fontId="5" type="noConversion"/>
  </si>
  <si>
    <t>2016-05-11 (수)</t>
    <phoneticPr fontId="5" type="noConversion"/>
  </si>
  <si>
    <t>Kagoshima, Japan</t>
    <phoneticPr fontId="5" type="noConversion"/>
  </si>
  <si>
    <t>410-2700</t>
    <phoneticPr fontId="5" type="noConversion"/>
  </si>
  <si>
    <t>9월</t>
    <phoneticPr fontId="5" type="noConversion"/>
  </si>
  <si>
    <t>2016-05-16 (월)</t>
    <phoneticPr fontId="5" type="noConversion"/>
  </si>
  <si>
    <t>10월</t>
    <phoneticPr fontId="5" type="noConversion"/>
  </si>
  <si>
    <t>2016-05-18 (수)</t>
  </si>
  <si>
    <t>11월</t>
    <phoneticPr fontId="5" type="noConversion"/>
  </si>
  <si>
    <t>2016-05-19 (목)</t>
    <phoneticPr fontId="5" type="noConversion"/>
  </si>
  <si>
    <t>12월</t>
    <phoneticPr fontId="5" type="noConversion"/>
  </si>
  <si>
    <t>Switzerland</t>
  </si>
  <si>
    <t>2016-05-20 (금)</t>
    <phoneticPr fontId="5" type="noConversion"/>
  </si>
  <si>
    <t>Legend of the Seas</t>
    <phoneticPr fontId="5" type="noConversion"/>
  </si>
  <si>
    <t>Hiroshima, Japan</t>
    <phoneticPr fontId="5" type="noConversion"/>
  </si>
  <si>
    <t>Beijing, China</t>
    <phoneticPr fontId="5" type="noConversion"/>
  </si>
  <si>
    <t>2016-05-22 (일)</t>
    <phoneticPr fontId="5" type="noConversion"/>
  </si>
  <si>
    <t>Sakaiminato, Japan</t>
    <phoneticPr fontId="5" type="noConversion"/>
  </si>
  <si>
    <t>규모</t>
    <phoneticPr fontId="5" type="noConversion"/>
  </si>
  <si>
    <t>횟수</t>
    <phoneticPr fontId="5" type="noConversion"/>
  </si>
  <si>
    <t>비율</t>
    <phoneticPr fontId="5" type="noConversion"/>
  </si>
  <si>
    <t>2016-05-23 (월)</t>
    <phoneticPr fontId="5" type="noConversion"/>
  </si>
  <si>
    <t>10만GT 초과</t>
    <phoneticPr fontId="5" type="noConversion"/>
  </si>
  <si>
    <t>Costa Victoria</t>
    <phoneticPr fontId="5" type="noConversion"/>
  </si>
  <si>
    <t>Costa Cruises</t>
    <phoneticPr fontId="5" type="noConversion"/>
  </si>
  <si>
    <t>2016-05-24 (화)</t>
    <phoneticPr fontId="5" type="noConversion"/>
  </si>
  <si>
    <t>Kanazawa, Japan</t>
    <phoneticPr fontId="5" type="noConversion"/>
  </si>
  <si>
    <t>463-0511</t>
  </si>
  <si>
    <t>모항(롯데하선, CBS 승선)</t>
    <phoneticPr fontId="5" type="noConversion"/>
  </si>
  <si>
    <t>10만GT 이하</t>
    <phoneticPr fontId="5" type="noConversion"/>
  </si>
  <si>
    <t>Beijing, China</t>
  </si>
  <si>
    <t>2016-05-25 (수)</t>
    <phoneticPr fontId="5" type="noConversion"/>
  </si>
  <si>
    <t>2016-05-26 (목)</t>
    <phoneticPr fontId="5" type="noConversion"/>
  </si>
  <si>
    <t>구분</t>
    <phoneticPr fontId="5" type="noConversion"/>
  </si>
  <si>
    <t>2016-05-27 (금)</t>
    <phoneticPr fontId="5" type="noConversion"/>
  </si>
  <si>
    <t>Fukuoka, Japan</t>
  </si>
  <si>
    <t>모항
(CBS 하선, 시앤크루즈 승선)</t>
    <phoneticPr fontId="5" type="noConversion"/>
  </si>
  <si>
    <t>2016-05-29 (목)</t>
    <phoneticPr fontId="5" type="noConversion"/>
  </si>
  <si>
    <t>2016-05-30 (월)</t>
    <phoneticPr fontId="5" type="noConversion"/>
  </si>
  <si>
    <t>Keelung, Taiwan</t>
    <phoneticPr fontId="5" type="noConversion"/>
  </si>
  <si>
    <t>모항
(시앤크루즈하선, 롯데승선)</t>
    <phoneticPr fontId="5" type="noConversion"/>
  </si>
  <si>
    <t>부산항국제1번</t>
  </si>
  <si>
    <t>Bohai Cruise</t>
    <phoneticPr fontId="4" type="noConversion"/>
  </si>
  <si>
    <t>2016-05-31 (화)</t>
    <phoneticPr fontId="5" type="noConversion"/>
  </si>
  <si>
    <t>Qingdao, China</t>
    <phoneticPr fontId="4" type="noConversion"/>
  </si>
  <si>
    <t>Shimonoseki, Japan</t>
    <phoneticPr fontId="5" type="noConversion"/>
  </si>
  <si>
    <t>천성해운</t>
    <phoneticPr fontId="5" type="noConversion"/>
  </si>
  <si>
    <t>2016-06-01 (수)</t>
  </si>
  <si>
    <t>2016-06-01 (수)</t>
    <phoneticPr fontId="5" type="noConversion"/>
  </si>
  <si>
    <t>합계</t>
    <phoneticPr fontId="5" type="noConversion"/>
  </si>
  <si>
    <t>2016-06-04 (토)</t>
    <phoneticPr fontId="5" type="noConversion"/>
  </si>
  <si>
    <t>Naha, Japan</t>
    <phoneticPr fontId="5" type="noConversion"/>
  </si>
  <si>
    <t>모항(롯데하선, 중국인승선)</t>
    <phoneticPr fontId="5" type="noConversion"/>
  </si>
  <si>
    <t>Shanghai, China</t>
    <phoneticPr fontId="4" type="noConversion"/>
  </si>
  <si>
    <t>Golden Princess</t>
    <phoneticPr fontId="5" type="noConversion"/>
  </si>
  <si>
    <t>2016-06-08 (수)</t>
    <phoneticPr fontId="5" type="noConversion"/>
  </si>
  <si>
    <t>해리해운</t>
    <phoneticPr fontId="5" type="noConversion"/>
  </si>
  <si>
    <t>442-4061</t>
    <phoneticPr fontId="5" type="noConversion"/>
  </si>
  <si>
    <t>2016-06-09 (목)</t>
    <phoneticPr fontId="5" type="noConversion"/>
  </si>
  <si>
    <t>2016-06-11 (토)</t>
    <phoneticPr fontId="5" type="noConversion"/>
  </si>
  <si>
    <t>Costa Fortuna</t>
    <phoneticPr fontId="5" type="noConversion"/>
  </si>
  <si>
    <t>2016-06-12 (일)</t>
    <phoneticPr fontId="5" type="noConversion"/>
  </si>
  <si>
    <t>Kochi, Japan</t>
    <phoneticPr fontId="5" type="noConversion"/>
  </si>
  <si>
    <t>2016-06-15 (수)</t>
    <phoneticPr fontId="5" type="noConversion"/>
  </si>
  <si>
    <t>충무 훈련에 의한 변경</t>
    <phoneticPr fontId="5" type="noConversion"/>
  </si>
  <si>
    <t>2016-06-27 (월)</t>
    <phoneticPr fontId="5" type="noConversion"/>
  </si>
  <si>
    <t>2016-06-28 (화)</t>
    <phoneticPr fontId="5" type="noConversion"/>
  </si>
  <si>
    <t>2016-06-29 (수)</t>
    <phoneticPr fontId="5" type="noConversion"/>
  </si>
  <si>
    <t>Ovation Of The seas</t>
    <phoneticPr fontId="5" type="noConversion"/>
  </si>
  <si>
    <t>2016-06-30 (목)</t>
    <phoneticPr fontId="5" type="noConversion"/>
  </si>
  <si>
    <t>2016-07-01 (금)</t>
    <phoneticPr fontId="5" type="noConversion"/>
  </si>
  <si>
    <t>2016-07-03 (일)</t>
    <phoneticPr fontId="5" type="noConversion"/>
  </si>
  <si>
    <t>2016-07-05 (화)</t>
    <phoneticPr fontId="5" type="noConversion"/>
  </si>
  <si>
    <t>YoKohama, Japan</t>
    <phoneticPr fontId="5" type="noConversion"/>
  </si>
  <si>
    <t>2016-07-06 (수)</t>
    <phoneticPr fontId="5" type="noConversion"/>
  </si>
  <si>
    <t>Beijing, China</t>
    <phoneticPr fontId="4" type="noConversion"/>
  </si>
  <si>
    <t>2016-07-10 (일)</t>
    <phoneticPr fontId="5" type="noConversion"/>
  </si>
  <si>
    <t>7/9 20:00 - 7/10 17:00
카멜리아 13번</t>
    <phoneticPr fontId="5" type="noConversion"/>
  </si>
  <si>
    <t>2016-07-11 (월)</t>
    <phoneticPr fontId="4" type="noConversion"/>
  </si>
  <si>
    <t>2016-07-11 (월)</t>
    <phoneticPr fontId="5" type="noConversion"/>
  </si>
  <si>
    <t>2016-07-12 (화)</t>
    <phoneticPr fontId="5" type="noConversion"/>
  </si>
  <si>
    <t>2016-07-13 (수)</t>
  </si>
  <si>
    <t>Sun Princess</t>
    <phoneticPr fontId="5" type="noConversion"/>
  </si>
  <si>
    <t>2016-07-15(금)</t>
    <phoneticPr fontId="5" type="noConversion"/>
  </si>
  <si>
    <t>Vladivostok,Russia</t>
    <phoneticPr fontId="5" type="noConversion"/>
  </si>
  <si>
    <t>2016-07-16 (토)</t>
    <phoneticPr fontId="5" type="noConversion"/>
  </si>
  <si>
    <t>Costa Victoria</t>
    <phoneticPr fontId="4" type="noConversion"/>
  </si>
  <si>
    <t>Italy</t>
    <phoneticPr fontId="4" type="noConversion"/>
  </si>
  <si>
    <t>2016-07-17 (일)</t>
    <phoneticPr fontId="4" type="noConversion"/>
  </si>
  <si>
    <t>Keelung, Taiwan</t>
    <phoneticPr fontId="4" type="noConversion"/>
  </si>
  <si>
    <t>463-0511</t>
    <phoneticPr fontId="4" type="noConversion"/>
  </si>
  <si>
    <t>290m</t>
    <phoneticPr fontId="5" type="noConversion"/>
  </si>
  <si>
    <t>2016-07-21 (목)</t>
    <phoneticPr fontId="5" type="noConversion"/>
  </si>
  <si>
    <t>Hakodate, Japan</t>
    <phoneticPr fontId="5" type="noConversion"/>
  </si>
  <si>
    <t>Kumamoto, Japan</t>
    <phoneticPr fontId="4" type="noConversion"/>
  </si>
  <si>
    <t>2016-07-25 (월)</t>
    <phoneticPr fontId="5" type="noConversion"/>
  </si>
  <si>
    <t>2016-07-26 (화)</t>
    <phoneticPr fontId="5" type="noConversion"/>
  </si>
  <si>
    <t>Costa VIctoria</t>
    <phoneticPr fontId="4" type="noConversion"/>
  </si>
  <si>
    <t>2016-07-29 (금)</t>
    <phoneticPr fontId="5" type="noConversion"/>
  </si>
  <si>
    <t>Sakaiminato, Japan</t>
  </si>
  <si>
    <t>준모항</t>
  </si>
  <si>
    <t>2016-07-30 (토)</t>
    <phoneticPr fontId="5" type="noConversion"/>
  </si>
  <si>
    <t>Peace Boat</t>
    <phoneticPr fontId="4" type="noConversion"/>
  </si>
  <si>
    <t>준모항</t>
    <phoneticPr fontId="4" type="noConversion"/>
  </si>
  <si>
    <t>2016-07-31 (일)</t>
    <phoneticPr fontId="5" type="noConversion"/>
  </si>
  <si>
    <t>2016-08-01 (월)</t>
  </si>
  <si>
    <t>2016-08-02 (화)</t>
    <phoneticPr fontId="5" type="noConversion"/>
  </si>
  <si>
    <t>2016-08-03 (수)</t>
    <phoneticPr fontId="5" type="noConversion"/>
  </si>
  <si>
    <t>2016-08-04 (목)</t>
    <phoneticPr fontId="5" type="noConversion"/>
  </si>
  <si>
    <t>2016-08-06 (토)</t>
    <phoneticPr fontId="5" type="noConversion"/>
  </si>
  <si>
    <t>2016-08-07 (일)</t>
    <phoneticPr fontId="5" type="noConversion"/>
  </si>
  <si>
    <t>2016-08-08 (월)</t>
    <phoneticPr fontId="5" type="noConversion"/>
  </si>
  <si>
    <t>동방선박</t>
  </si>
  <si>
    <t>china</t>
    <phoneticPr fontId="5" type="noConversion"/>
  </si>
  <si>
    <t>2016-08-09 (화)</t>
    <phoneticPr fontId="5" type="noConversion"/>
  </si>
  <si>
    <t>Incheon, Korea</t>
    <phoneticPr fontId="5" type="noConversion"/>
  </si>
  <si>
    <t>2016-08-10 (수)</t>
    <phoneticPr fontId="5" type="noConversion"/>
  </si>
  <si>
    <t>2016-08-11 (목)</t>
    <phoneticPr fontId="5" type="noConversion"/>
  </si>
  <si>
    <t>MSC</t>
    <phoneticPr fontId="4" type="noConversion"/>
  </si>
  <si>
    <t>2016-08-13 (토)</t>
    <phoneticPr fontId="5" type="noConversion"/>
  </si>
  <si>
    <t>2016-08-14 (일)</t>
    <phoneticPr fontId="4" type="noConversion"/>
  </si>
  <si>
    <t>Shanhai, China</t>
    <phoneticPr fontId="5" type="noConversion"/>
  </si>
  <si>
    <t>2016-08-15 (월)</t>
  </si>
  <si>
    <t>2016-08-15 (월)</t>
    <phoneticPr fontId="5" type="noConversion"/>
  </si>
  <si>
    <t>Nasaki, Japan</t>
    <phoneticPr fontId="4" type="noConversion"/>
  </si>
  <si>
    <t>2016-08-17 (수)</t>
    <phoneticPr fontId="5" type="noConversion"/>
  </si>
  <si>
    <t>2016-08-18 (목)</t>
    <phoneticPr fontId="5" type="noConversion"/>
  </si>
  <si>
    <t>2016-08-20 (토)</t>
    <phoneticPr fontId="5" type="noConversion"/>
  </si>
  <si>
    <t>Beijing(Tianjin), China</t>
    <phoneticPr fontId="5" type="noConversion"/>
  </si>
  <si>
    <t>2016-08-21 (일)</t>
    <phoneticPr fontId="5" type="noConversion"/>
  </si>
  <si>
    <t>Nagoya, Japan</t>
    <phoneticPr fontId="5" type="noConversion"/>
  </si>
  <si>
    <t>2016-08-22 (월)</t>
    <phoneticPr fontId="5" type="noConversion"/>
  </si>
  <si>
    <t>2016-08-23 (화)</t>
    <phoneticPr fontId="5" type="noConversion"/>
  </si>
  <si>
    <t>2016-08-25 (목)</t>
    <phoneticPr fontId="5" type="noConversion"/>
  </si>
  <si>
    <t>2016-08-26 (금)</t>
    <phoneticPr fontId="5" type="noConversion"/>
  </si>
  <si>
    <t>2016-08-28 (일)</t>
    <phoneticPr fontId="5" type="noConversion"/>
  </si>
  <si>
    <t>2016-08-29 (월)</t>
  </si>
  <si>
    <t>2016-08-29 (월)</t>
    <phoneticPr fontId="5" type="noConversion"/>
  </si>
  <si>
    <t>2016-08-30 (화)</t>
    <phoneticPr fontId="5" type="noConversion"/>
  </si>
  <si>
    <t>Fushiki, Japan</t>
    <phoneticPr fontId="5" type="noConversion"/>
  </si>
  <si>
    <t>2016-09-01 (목)</t>
    <phoneticPr fontId="5" type="noConversion"/>
  </si>
  <si>
    <t>2016-09-02 (금)</t>
    <phoneticPr fontId="5" type="noConversion"/>
  </si>
  <si>
    <t>2016-09-03 (토)</t>
    <phoneticPr fontId="5" type="noConversion"/>
  </si>
  <si>
    <t>태풍관련 긴급피항</t>
    <phoneticPr fontId="5" type="noConversion"/>
  </si>
  <si>
    <t>2016-09-04 (일)</t>
    <phoneticPr fontId="5" type="noConversion"/>
  </si>
  <si>
    <t>Nagasaki, Japan</t>
    <phoneticPr fontId="4" type="noConversion"/>
  </si>
  <si>
    <t>2016-09-05 (월)</t>
    <phoneticPr fontId="5" type="noConversion"/>
  </si>
  <si>
    <t>2016-09-07 (수)</t>
    <phoneticPr fontId="5" type="noConversion"/>
  </si>
  <si>
    <t>2016-09-08 (목)</t>
    <phoneticPr fontId="5" type="noConversion"/>
  </si>
  <si>
    <t>2016-09-09 (금)</t>
    <phoneticPr fontId="5" type="noConversion"/>
  </si>
  <si>
    <t>2016-09-10 (토)</t>
    <phoneticPr fontId="5" type="noConversion"/>
  </si>
  <si>
    <t>Incheon, South Korea</t>
    <phoneticPr fontId="5" type="noConversion"/>
  </si>
  <si>
    <t>2016-09-12 (월)</t>
    <phoneticPr fontId="5" type="noConversion"/>
  </si>
  <si>
    <t>2016-09-13 (화)</t>
    <phoneticPr fontId="5" type="noConversion"/>
  </si>
  <si>
    <t>2016-09-14 (수)</t>
    <phoneticPr fontId="5" type="noConversion"/>
  </si>
  <si>
    <t>Dalian, China</t>
    <phoneticPr fontId="4" type="noConversion"/>
  </si>
  <si>
    <t>모항(시앤크루즈)</t>
    <phoneticPr fontId="5" type="noConversion"/>
  </si>
  <si>
    <t>2016-09-16 (금)</t>
    <phoneticPr fontId="5" type="noConversion"/>
  </si>
  <si>
    <t>2016-09-18 (일)</t>
    <phoneticPr fontId="5" type="noConversion"/>
  </si>
  <si>
    <t>Hososhima, Japan</t>
    <phoneticPr fontId="5" type="noConversion"/>
  </si>
  <si>
    <t>2016-09-19 (월)</t>
    <phoneticPr fontId="5" type="noConversion"/>
  </si>
  <si>
    <t>Dalian, China</t>
    <phoneticPr fontId="5" type="noConversion"/>
  </si>
  <si>
    <t>2016-09-21 (수)</t>
  </si>
  <si>
    <t>2016-09-23 (금)</t>
    <phoneticPr fontId="5" type="noConversion"/>
  </si>
  <si>
    <t>2016-09-24 (토)</t>
    <phoneticPr fontId="5" type="noConversion"/>
  </si>
  <si>
    <t>2016-09-25 (일)</t>
    <phoneticPr fontId="5" type="noConversion"/>
  </si>
  <si>
    <t>2016-09-26 (월)</t>
  </si>
  <si>
    <t>2016-09-27 (화)</t>
    <phoneticPr fontId="5" type="noConversion"/>
  </si>
  <si>
    <t>2016-09-29 (목)</t>
    <phoneticPr fontId="5" type="noConversion"/>
  </si>
  <si>
    <t>2016-09-30 (금)</t>
    <phoneticPr fontId="5" type="noConversion"/>
  </si>
  <si>
    <t>2016-10-03 (월)</t>
    <phoneticPr fontId="5" type="noConversion"/>
  </si>
  <si>
    <t>2016-10-04 (화)</t>
    <phoneticPr fontId="5" type="noConversion"/>
  </si>
  <si>
    <t>2016-10-06 (목)</t>
    <phoneticPr fontId="5" type="noConversion"/>
  </si>
  <si>
    <t>2016-10-07 (금)</t>
    <phoneticPr fontId="5" type="noConversion"/>
  </si>
  <si>
    <t>2016-10-08 (토)</t>
    <phoneticPr fontId="5" type="noConversion"/>
  </si>
  <si>
    <t>Silver Sea Cruise</t>
    <phoneticPr fontId="5" type="noConversion"/>
  </si>
  <si>
    <t>2016-10-09 (일)</t>
    <phoneticPr fontId="5" type="noConversion"/>
  </si>
  <si>
    <t>2016-10-10 (월)</t>
  </si>
  <si>
    <t>2016-10-10 (월)</t>
    <phoneticPr fontId="5" type="noConversion"/>
  </si>
  <si>
    <t>Celebrity Cruises</t>
    <phoneticPr fontId="5" type="noConversion"/>
  </si>
  <si>
    <t>2016-10-11 (화)</t>
    <phoneticPr fontId="5" type="noConversion"/>
  </si>
  <si>
    <t>Otaru, Japan</t>
    <phoneticPr fontId="5" type="noConversion"/>
  </si>
  <si>
    <t>Princess Cruises</t>
  </si>
  <si>
    <t>England</t>
  </si>
  <si>
    <t>2016-10-13 (목)</t>
    <phoneticPr fontId="5" type="noConversion"/>
  </si>
  <si>
    <t xml:space="preserve"> Osaka, Japan </t>
    <phoneticPr fontId="5" type="noConversion"/>
  </si>
  <si>
    <t>협성해운</t>
  </si>
  <si>
    <t>463-1451</t>
  </si>
  <si>
    <t>2016-10-14 (금)</t>
    <phoneticPr fontId="5" type="noConversion"/>
  </si>
  <si>
    <t>2016-10-15 (토)</t>
    <phoneticPr fontId="5" type="noConversion"/>
  </si>
  <si>
    <t>Tianjin, China</t>
    <phoneticPr fontId="4" type="noConversion"/>
  </si>
  <si>
    <t>2016-10-16 (일)</t>
    <phoneticPr fontId="5" type="noConversion"/>
  </si>
  <si>
    <t>Sakaiminate, Japan</t>
    <phoneticPr fontId="4" type="noConversion"/>
  </si>
  <si>
    <t>2016-10-17 (월)</t>
    <phoneticPr fontId="5" type="noConversion"/>
  </si>
  <si>
    <t>2016-10-19 (수)</t>
  </si>
  <si>
    <t>2016-10-19 (수)</t>
    <phoneticPr fontId="5" type="noConversion"/>
  </si>
  <si>
    <t>2016-10-22 (토)</t>
    <phoneticPr fontId="5" type="noConversion"/>
  </si>
  <si>
    <t>1박2일</t>
    <phoneticPr fontId="5" type="noConversion"/>
  </si>
  <si>
    <t>2016-10-24 (월)</t>
  </si>
  <si>
    <t>2016-10-25 (화)</t>
    <phoneticPr fontId="4" type="noConversion"/>
  </si>
  <si>
    <t>2016-10-27 (목)</t>
    <phoneticPr fontId="5" type="noConversion"/>
  </si>
  <si>
    <t>2016-10-30 (일)</t>
    <phoneticPr fontId="5" type="noConversion"/>
  </si>
  <si>
    <t>2016-10-31 (월)</t>
    <phoneticPr fontId="5" type="noConversion"/>
  </si>
  <si>
    <t>2016-11-01 (화)</t>
    <phoneticPr fontId="5" type="noConversion"/>
  </si>
  <si>
    <t>2016-11-02 (수)</t>
  </si>
  <si>
    <t>2016-11-05 (토)</t>
    <phoneticPr fontId="5" type="noConversion"/>
  </si>
  <si>
    <t>2016-11-07 (월)</t>
  </si>
  <si>
    <t>2016-11-07 (월)</t>
    <phoneticPr fontId="5" type="noConversion"/>
  </si>
  <si>
    <t>2016-11-08 (화)</t>
    <phoneticPr fontId="5" type="noConversion"/>
  </si>
  <si>
    <t>2016-11-09 (수)</t>
    <phoneticPr fontId="5" type="noConversion"/>
  </si>
  <si>
    <t>2016-11-10 (목)</t>
    <phoneticPr fontId="5" type="noConversion"/>
  </si>
  <si>
    <t xml:space="preserve"> </t>
    <phoneticPr fontId="5" type="noConversion"/>
  </si>
  <si>
    <t>Miyazaki, Japan</t>
    <phoneticPr fontId="5" type="noConversion"/>
  </si>
  <si>
    <t>Hong Kong, China</t>
    <phoneticPr fontId="5" type="noConversion"/>
  </si>
  <si>
    <t>2016-11-13 (일)</t>
    <phoneticPr fontId="5" type="noConversion"/>
  </si>
  <si>
    <t>2016-11-14 (월)</t>
    <phoneticPr fontId="5" type="noConversion"/>
  </si>
  <si>
    <t>2016-11-16 (수)</t>
  </si>
  <si>
    <t>2016-11-17 (목)</t>
    <phoneticPr fontId="5" type="noConversion"/>
  </si>
  <si>
    <t>2016-11-21 (월)</t>
  </si>
  <si>
    <t>2016-11-28 (월)</t>
    <phoneticPr fontId="5" type="noConversion"/>
  </si>
  <si>
    <t>2016-11-30 (수)</t>
  </si>
  <si>
    <t>2016-12-05 (월)</t>
    <phoneticPr fontId="5" type="noConversion"/>
  </si>
  <si>
    <t>RCI</t>
    <phoneticPr fontId="4" type="noConversion"/>
  </si>
  <si>
    <t>2016-12-07 (수)</t>
    <phoneticPr fontId="4" type="noConversion"/>
  </si>
  <si>
    <t>유니해운</t>
    <phoneticPr fontId="4" type="noConversion"/>
  </si>
  <si>
    <t>Bahamas</t>
    <phoneticPr fontId="4" type="noConversion"/>
  </si>
  <si>
    <t>2016-12-11 (일)</t>
    <phoneticPr fontId="4" type="noConversion"/>
  </si>
  <si>
    <t>2016-12-14 (수)</t>
  </si>
  <si>
    <t>2016-12-15 (목)</t>
    <phoneticPr fontId="5" type="noConversion"/>
  </si>
  <si>
    <t>2016-12-16 (금)</t>
    <phoneticPr fontId="4" type="noConversion"/>
  </si>
  <si>
    <t>2016-12-18 (일)</t>
    <phoneticPr fontId="5" type="noConversion"/>
  </si>
  <si>
    <t>2016-12-19 (월)</t>
    <phoneticPr fontId="5" type="noConversion"/>
  </si>
  <si>
    <t>2016-12-23 (금)</t>
    <phoneticPr fontId="5" type="noConversion"/>
  </si>
  <si>
    <t>2016-12-27 (화)</t>
    <phoneticPr fontId="4" type="noConversion"/>
  </si>
  <si>
    <t>2016-12-29 (목)</t>
    <phoneticPr fontId="5" type="noConversion"/>
  </si>
  <si>
    <t>감만3번</t>
    <phoneticPr fontId="5" type="noConversion"/>
  </si>
  <si>
    <t>2016-12-31 (토)</t>
    <phoneticPr fontId="4" type="noConversion"/>
  </si>
  <si>
    <t>&lt;&lt; 참고 &gt;&gt;</t>
    <phoneticPr fontId="5" type="noConversion"/>
  </si>
  <si>
    <t>동시접안</t>
  </si>
  <si>
    <t>3척 동시접안</t>
  </si>
  <si>
    <t>1박2일이상</t>
  </si>
  <si>
    <t>1박2일</t>
    <phoneticPr fontId="4" type="noConversion"/>
  </si>
  <si>
    <t>Costa Fortuna</t>
    <phoneticPr fontId="5" type="noConversion"/>
  </si>
  <si>
    <t>Costa Cruises</t>
    <phoneticPr fontId="5" type="noConversion"/>
  </si>
  <si>
    <t>2016-11-15 (수)</t>
    <phoneticPr fontId="4" type="noConversion"/>
  </si>
  <si>
    <t>Sakaiminato, Japan</t>
    <phoneticPr fontId="5" type="noConversion"/>
  </si>
  <si>
    <t>Sasebo, Japan</t>
    <phoneticPr fontId="5" type="noConversion"/>
  </si>
  <si>
    <r>
      <t xml:space="preserve">Asuka </t>
    </r>
    <r>
      <rPr>
        <sz val="10"/>
        <color theme="1"/>
        <rFont val="맑은 고딕"/>
        <family val="3"/>
        <charset val="129"/>
      </rPr>
      <t>Ⅱ</t>
    </r>
    <phoneticPr fontId="5" type="noConversion"/>
  </si>
  <si>
    <t>Cie du Ponant</t>
    <phoneticPr fontId="5" type="noConversion"/>
  </si>
  <si>
    <t>Malta</t>
    <phoneticPr fontId="5" type="noConversion"/>
  </si>
  <si>
    <t>Sakaiminato, japan</t>
    <phoneticPr fontId="5" type="noConversion"/>
  </si>
  <si>
    <t>CMA CGM</t>
    <phoneticPr fontId="5" type="noConversion"/>
  </si>
  <si>
    <t>460-5711</t>
    <phoneticPr fontId="5" type="noConversion"/>
  </si>
  <si>
    <t>L'Austral</t>
    <phoneticPr fontId="4" type="noConversion"/>
  </si>
  <si>
    <t>L'AUSTRAL</t>
    <phoneticPr fontId="5" type="noConversion"/>
  </si>
  <si>
    <t>태풍관련 긴급피항</t>
    <phoneticPr fontId="5" type="noConversion"/>
  </si>
  <si>
    <t>미정</t>
    <phoneticPr fontId="4" type="noConversion"/>
  </si>
  <si>
    <t>Hhiroshimam Japan</t>
    <phoneticPr fontId="5" type="noConversion"/>
  </si>
  <si>
    <t>2016.10.9기준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</si>
</sst>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);[Red]\(#,##0\)"/>
    <numFmt numFmtId="177" formatCode="0.00_);[Red]\(0.00\)"/>
    <numFmt numFmtId="178" formatCode="mm/dd\ h:mm"/>
    <numFmt numFmtId="179" formatCode="h:mm;@"/>
    <numFmt numFmtId="180" formatCode="#,##0_ "/>
    <numFmt numFmtId="181" formatCode="_-* #,##0.00_-;\-* #,##0.00_-;_-* &quot;-&quot;_-;_-@_-"/>
    <numFmt numFmtId="182" formatCode="[$-409]d/mmm;@"/>
  </numFmts>
  <fonts count="3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휴먼모음T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휴먼모음T"/>
      <family val="1"/>
      <charset val="129"/>
    </font>
    <font>
      <sz val="11"/>
      <name val="굴림"/>
      <family val="3"/>
      <charset val="129"/>
    </font>
    <font>
      <b/>
      <sz val="11"/>
      <name val="-윤고딕320"/>
      <family val="1"/>
      <charset val="129"/>
    </font>
    <font>
      <b/>
      <sz val="11"/>
      <name val="중고딕"/>
      <family val="3"/>
      <charset val="129"/>
    </font>
    <font>
      <sz val="10"/>
      <name val="맑은 고딕"/>
      <family val="3"/>
      <charset val="129"/>
      <scheme val="major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color indexed="8"/>
      <name val="맑은 고딕"/>
      <family val="3"/>
      <charset val="129"/>
    </font>
    <font>
      <b/>
      <sz val="10"/>
      <color rgb="FFFF0000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0"/>
      <color rgb="FF0000FF"/>
      <name val="맑은 고딕"/>
      <family val="3"/>
      <charset val="129"/>
      <scheme val="major"/>
    </font>
    <font>
      <b/>
      <sz val="10"/>
      <color rgb="FF0000FF"/>
      <name val="맑은 고딕"/>
      <family val="3"/>
      <charset val="129"/>
      <scheme val="major"/>
    </font>
    <font>
      <sz val="12"/>
      <color rgb="FF000000"/>
      <name val="한양중고딕"/>
      <family val="3"/>
      <charset val="129"/>
    </font>
    <font>
      <sz val="12"/>
      <color rgb="FF0000FF"/>
      <name val="한양중고딕"/>
      <family val="3"/>
      <charset val="129"/>
    </font>
    <font>
      <b/>
      <sz val="10"/>
      <color rgb="FF0000FF"/>
      <name val="굴림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indexed="8"/>
      <name val="新細明體"/>
      <family val="1"/>
      <charset val="136"/>
    </font>
    <font>
      <sz val="10"/>
      <color theme="1"/>
      <name val="맑은 고딕"/>
      <family val="3"/>
      <charset val="129"/>
    </font>
    <font>
      <b/>
      <sz val="10"/>
      <color rgb="FF0070C0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26" fillId="0" borderId="0"/>
    <xf numFmtId="0" fontId="27" fillId="0" borderId="0">
      <alignment vertical="center"/>
    </xf>
    <xf numFmtId="0" fontId="26" fillId="0" borderId="0"/>
    <xf numFmtId="41" fontId="2" fillId="0" borderId="0" applyFont="0" applyFill="0" applyBorder="0" applyAlignment="0" applyProtection="0">
      <alignment vertical="center"/>
    </xf>
    <xf numFmtId="182" fontId="28" fillId="0" borderId="0"/>
  </cellStyleXfs>
  <cellXfs count="415">
    <xf numFmtId="0" fontId="0" fillId="0" borderId="0" xfId="0">
      <alignment vertical="center"/>
    </xf>
    <xf numFmtId="22" fontId="6" fillId="0" borderId="1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176" fontId="8" fillId="2" borderId="3" xfId="4" applyNumberFormat="1" applyFont="1" applyFill="1" applyBorder="1" applyAlignment="1">
      <alignment horizontal="center" vertical="center" wrapText="1"/>
    </xf>
    <xf numFmtId="177" fontId="8" fillId="2" borderId="3" xfId="4" applyNumberFormat="1" applyFont="1" applyFill="1" applyBorder="1" applyAlignment="1">
      <alignment horizontal="center" vertical="center" wrapText="1"/>
    </xf>
    <xf numFmtId="178" fontId="8" fillId="2" borderId="3" xfId="3" applyNumberFormat="1" applyFont="1" applyFill="1" applyBorder="1" applyAlignment="1">
      <alignment horizontal="center" vertical="center"/>
    </xf>
    <xf numFmtId="0" fontId="8" fillId="2" borderId="3" xfId="4" applyNumberFormat="1" applyFont="1" applyFill="1" applyBorder="1" applyAlignment="1">
      <alignment horizontal="center" vertical="center" wrapText="1"/>
    </xf>
    <xf numFmtId="41" fontId="8" fillId="2" borderId="3" xfId="4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/>
    </xf>
    <xf numFmtId="0" fontId="11" fillId="3" borderId="8" xfId="5" applyFont="1" applyFill="1" applyBorder="1" applyAlignment="1">
      <alignment horizontal="center" vertical="center" wrapText="1"/>
    </xf>
    <xf numFmtId="0" fontId="11" fillId="3" borderId="8" xfId="5" applyFont="1" applyFill="1" applyBorder="1" applyAlignment="1">
      <alignment horizontal="center" vertical="center"/>
    </xf>
    <xf numFmtId="176" fontId="11" fillId="3" borderId="8" xfId="4" applyNumberFormat="1" applyFont="1" applyFill="1" applyBorder="1" applyAlignment="1">
      <alignment horizontal="center" vertical="center" wrapText="1"/>
    </xf>
    <xf numFmtId="177" fontId="11" fillId="3" borderId="8" xfId="4" applyNumberFormat="1" applyFont="1" applyFill="1" applyBorder="1" applyAlignment="1">
      <alignment horizontal="center" vertical="center" wrapText="1"/>
    </xf>
    <xf numFmtId="177" fontId="12" fillId="3" borderId="8" xfId="4" applyNumberFormat="1" applyFont="1" applyFill="1" applyBorder="1" applyAlignment="1">
      <alignment horizontal="center" vertical="center" wrapText="1"/>
    </xf>
    <xf numFmtId="14" fontId="11" fillId="3" borderId="8" xfId="5" applyNumberFormat="1" applyFont="1" applyFill="1" applyBorder="1" applyAlignment="1">
      <alignment horizontal="center" vertical="center"/>
    </xf>
    <xf numFmtId="20" fontId="11" fillId="3" borderId="8" xfId="5" applyNumberFormat="1" applyFont="1" applyFill="1" applyBorder="1" applyAlignment="1">
      <alignment horizontal="center" vertical="center"/>
    </xf>
    <xf numFmtId="3" fontId="12" fillId="0" borderId="8" xfId="4" applyNumberFormat="1" applyFont="1" applyFill="1" applyBorder="1" applyAlignment="1">
      <alignment horizontal="center" vertical="center" wrapText="1"/>
    </xf>
    <xf numFmtId="41" fontId="11" fillId="0" borderId="8" xfId="4" applyFont="1" applyFill="1" applyBorder="1" applyAlignment="1">
      <alignment horizontal="center" vertical="center" wrapText="1"/>
    </xf>
    <xf numFmtId="176" fontId="11" fillId="0" borderId="8" xfId="3" applyNumberFormat="1" applyFont="1" applyFill="1" applyBorder="1" applyAlignment="1">
      <alignment horizontal="center" vertical="center"/>
    </xf>
    <xf numFmtId="41" fontId="11" fillId="3" borderId="8" xfId="4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/>
    </xf>
    <xf numFmtId="41" fontId="11" fillId="0" borderId="9" xfId="4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right" vertical="center" wrapText="1"/>
    </xf>
    <xf numFmtId="176" fontId="11" fillId="3" borderId="8" xfId="3" applyNumberFormat="1" applyFont="1" applyFill="1" applyBorder="1" applyAlignment="1">
      <alignment horizontal="center" vertical="center"/>
    </xf>
    <xf numFmtId="177" fontId="11" fillId="3" borderId="8" xfId="4" applyNumberFormat="1" applyFont="1" applyFill="1" applyBorder="1" applyAlignment="1">
      <alignment horizontal="center" vertical="center"/>
    </xf>
    <xf numFmtId="177" fontId="12" fillId="3" borderId="8" xfId="4" applyNumberFormat="1" applyFont="1" applyFill="1" applyBorder="1" applyAlignment="1">
      <alignment horizontal="center" vertical="center"/>
    </xf>
    <xf numFmtId="14" fontId="11" fillId="3" borderId="8" xfId="3" applyNumberFormat="1" applyFont="1" applyFill="1" applyBorder="1" applyAlignment="1">
      <alignment horizontal="center" vertical="center"/>
    </xf>
    <xf numFmtId="179" fontId="11" fillId="3" borderId="8" xfId="3" applyNumberFormat="1" applyFont="1" applyFill="1" applyBorder="1" applyAlignment="1">
      <alignment horizontal="center" vertical="center"/>
    </xf>
    <xf numFmtId="20" fontId="11" fillId="3" borderId="8" xfId="6" applyNumberFormat="1" applyFont="1" applyFill="1" applyBorder="1" applyAlignment="1">
      <alignment horizontal="center" vertical="center"/>
    </xf>
    <xf numFmtId="3" fontId="12" fillId="3" borderId="8" xfId="4" applyNumberFormat="1" applyFont="1" applyFill="1" applyBorder="1" applyAlignment="1">
      <alignment horizontal="center" vertical="center" wrapText="1"/>
    </xf>
    <xf numFmtId="0" fontId="11" fillId="3" borderId="8" xfId="6" applyFont="1" applyFill="1" applyBorder="1" applyAlignment="1">
      <alignment horizontal="center" vertical="center"/>
    </xf>
    <xf numFmtId="0" fontId="11" fillId="3" borderId="10" xfId="5" applyFont="1" applyFill="1" applyBorder="1" applyAlignment="1">
      <alignment horizontal="center" vertical="center"/>
    </xf>
    <xf numFmtId="3" fontId="12" fillId="0" borderId="10" xfId="4" applyNumberFormat="1" applyFont="1" applyFill="1" applyBorder="1" applyAlignment="1">
      <alignment horizontal="center" vertical="center" wrapText="1"/>
    </xf>
    <xf numFmtId="41" fontId="11" fillId="0" borderId="10" xfId="4" applyFont="1" applyFill="1" applyBorder="1" applyAlignment="1">
      <alignment horizontal="center" vertical="center" wrapText="1"/>
    </xf>
    <xf numFmtId="176" fontId="11" fillId="0" borderId="10" xfId="3" applyNumberFormat="1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/>
    </xf>
    <xf numFmtId="41" fontId="11" fillId="0" borderId="11" xfId="4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1" fillId="0" borderId="12" xfId="5" applyFont="1" applyFill="1" applyBorder="1" applyAlignment="1">
      <alignment horizontal="center" vertical="center"/>
    </xf>
    <xf numFmtId="3" fontId="12" fillId="0" borderId="12" xfId="4" applyNumberFormat="1" applyFont="1" applyFill="1" applyBorder="1" applyAlignment="1">
      <alignment horizontal="center" vertical="center" wrapText="1"/>
    </xf>
    <xf numFmtId="41" fontId="11" fillId="0" borderId="12" xfId="4" applyFont="1" applyFill="1" applyBorder="1" applyAlignment="1">
      <alignment horizontal="center" vertical="center" wrapText="1"/>
    </xf>
    <xf numFmtId="176" fontId="11" fillId="0" borderId="12" xfId="3" applyNumberFormat="1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41" fontId="11" fillId="0" borderId="13" xfId="4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/>
    </xf>
    <xf numFmtId="20" fontId="11" fillId="0" borderId="8" xfId="3" applyNumberFormat="1" applyFont="1" applyFill="1" applyBorder="1" applyAlignment="1">
      <alignment horizontal="center" vertical="center"/>
    </xf>
    <xf numFmtId="14" fontId="11" fillId="0" borderId="8" xfId="3" applyNumberFormat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77" fontId="11" fillId="0" borderId="8" xfId="4" applyNumberFormat="1" applyFont="1" applyFill="1" applyBorder="1" applyAlignment="1">
      <alignment horizontal="center" vertical="center" wrapText="1"/>
    </xf>
    <xf numFmtId="177" fontId="12" fillId="0" borderId="8" xfId="4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/>
    </xf>
    <xf numFmtId="176" fontId="11" fillId="0" borderId="8" xfId="4" applyNumberFormat="1" applyFont="1" applyFill="1" applyBorder="1" applyAlignment="1">
      <alignment horizontal="center" vertical="center"/>
    </xf>
    <xf numFmtId="177" fontId="11" fillId="0" borderId="8" xfId="4" applyNumberFormat="1" applyFont="1" applyFill="1" applyBorder="1" applyAlignment="1">
      <alignment horizontal="center" vertical="center"/>
    </xf>
    <xf numFmtId="177" fontId="12" fillId="0" borderId="8" xfId="4" applyNumberFormat="1" applyFont="1" applyFill="1" applyBorder="1" applyAlignment="1">
      <alignment horizontal="center" vertical="center"/>
    </xf>
    <xf numFmtId="0" fontId="11" fillId="0" borderId="8" xfId="6" applyFont="1" applyFill="1" applyBorder="1" applyAlignment="1">
      <alignment horizontal="center" vertical="center"/>
    </xf>
    <xf numFmtId="0" fontId="11" fillId="4" borderId="8" xfId="3" applyFont="1" applyFill="1" applyBorder="1" applyAlignment="1">
      <alignment horizontal="center" vertical="center"/>
    </xf>
    <xf numFmtId="0" fontId="16" fillId="4" borderId="8" xfId="3" applyFont="1" applyFill="1" applyBorder="1" applyAlignment="1">
      <alignment horizontal="center" vertical="center"/>
    </xf>
    <xf numFmtId="20" fontId="16" fillId="4" borderId="8" xfId="3" applyNumberFormat="1" applyFont="1" applyFill="1" applyBorder="1" applyAlignment="1">
      <alignment horizontal="center" vertical="center"/>
    </xf>
    <xf numFmtId="14" fontId="16" fillId="4" borderId="8" xfId="3" applyNumberFormat="1" applyFont="1" applyFill="1" applyBorder="1" applyAlignment="1">
      <alignment horizontal="center" vertical="center"/>
    </xf>
    <xf numFmtId="3" fontId="12" fillId="4" borderId="8" xfId="4" applyNumberFormat="1" applyFont="1" applyFill="1" applyBorder="1" applyAlignment="1">
      <alignment horizontal="center" vertical="center" wrapText="1"/>
    </xf>
    <xf numFmtId="41" fontId="11" fillId="4" borderId="8" xfId="4" applyFont="1" applyFill="1" applyBorder="1" applyAlignment="1">
      <alignment horizontal="center" vertical="center" wrapText="1"/>
    </xf>
    <xf numFmtId="180" fontId="13" fillId="0" borderId="6" xfId="0" applyNumberFormat="1" applyFont="1" applyBorder="1" applyAlignment="1">
      <alignment horizontal="center" vertical="center" wrapText="1"/>
    </xf>
    <xf numFmtId="0" fontId="11" fillId="0" borderId="10" xfId="6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176" fontId="11" fillId="0" borderId="12" xfId="4" applyNumberFormat="1" applyFont="1" applyFill="1" applyBorder="1" applyAlignment="1">
      <alignment horizontal="center" vertical="center"/>
    </xf>
    <xf numFmtId="177" fontId="11" fillId="0" borderId="12" xfId="4" applyNumberFormat="1" applyFont="1" applyFill="1" applyBorder="1" applyAlignment="1">
      <alignment horizontal="center" vertical="center"/>
    </xf>
    <xf numFmtId="177" fontId="12" fillId="0" borderId="12" xfId="4" applyNumberFormat="1" applyFont="1" applyFill="1" applyBorder="1" applyAlignment="1">
      <alignment horizontal="center" vertical="center"/>
    </xf>
    <xf numFmtId="20" fontId="11" fillId="0" borderId="12" xfId="3" applyNumberFormat="1" applyFont="1" applyFill="1" applyBorder="1" applyAlignment="1">
      <alignment horizontal="center" vertical="center"/>
    </xf>
    <xf numFmtId="14" fontId="11" fillId="0" borderId="12" xfId="3" applyNumberFormat="1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4" borderId="8" xfId="6" applyFont="1" applyFill="1" applyBorder="1" applyAlignment="1">
      <alignment horizontal="center" vertical="center"/>
    </xf>
    <xf numFmtId="0" fontId="10" fillId="3" borderId="6" xfId="5" applyFont="1" applyFill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/>
    </xf>
    <xf numFmtId="14" fontId="17" fillId="0" borderId="8" xfId="3" applyNumberFormat="1" applyFont="1" applyFill="1" applyBorder="1" applyAlignment="1">
      <alignment horizontal="center" vertical="center"/>
    </xf>
    <xf numFmtId="179" fontId="17" fillId="0" borderId="8" xfId="3" applyNumberFormat="1" applyFont="1" applyFill="1" applyBorder="1" applyAlignment="1">
      <alignment horizontal="center" vertical="center"/>
    </xf>
    <xf numFmtId="20" fontId="17" fillId="0" borderId="8" xfId="6" applyNumberFormat="1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horizontal="center" vertical="center"/>
    </xf>
    <xf numFmtId="179" fontId="11" fillId="0" borderId="8" xfId="3" applyNumberFormat="1" applyFont="1" applyFill="1" applyBorder="1" applyAlignment="1">
      <alignment horizontal="center" vertical="center"/>
    </xf>
    <xf numFmtId="3" fontId="10" fillId="0" borderId="6" xfId="1" applyNumberFormat="1" applyFont="1" applyFill="1" applyBorder="1" applyAlignment="1">
      <alignment horizontal="center" vertical="center"/>
    </xf>
    <xf numFmtId="20" fontId="11" fillId="0" borderId="8" xfId="5" applyNumberFormat="1" applyFont="1" applyFill="1" applyBorder="1" applyAlignment="1">
      <alignment horizontal="center" vertical="center"/>
    </xf>
    <xf numFmtId="14" fontId="11" fillId="0" borderId="8" xfId="5" applyNumberFormat="1" applyFont="1" applyFill="1" applyBorder="1" applyAlignment="1">
      <alignment horizontal="center" vertical="center"/>
    </xf>
    <xf numFmtId="0" fontId="11" fillId="0" borderId="10" xfId="5" applyFont="1" applyFill="1" applyBorder="1" applyAlignment="1">
      <alignment horizontal="center" vertical="center"/>
    </xf>
    <xf numFmtId="177" fontId="11" fillId="0" borderId="10" xfId="4" applyNumberFormat="1" applyFont="1" applyFill="1" applyBorder="1" applyAlignment="1">
      <alignment horizontal="center" vertical="center" wrapText="1"/>
    </xf>
    <xf numFmtId="177" fontId="12" fillId="0" borderId="10" xfId="4" applyNumberFormat="1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177" fontId="11" fillId="4" borderId="8" xfId="4" applyNumberFormat="1" applyFont="1" applyFill="1" applyBorder="1" applyAlignment="1">
      <alignment horizontal="center" vertical="center"/>
    </xf>
    <xf numFmtId="177" fontId="12" fillId="4" borderId="8" xfId="4" applyNumberFormat="1" applyFont="1" applyFill="1" applyBorder="1" applyAlignment="1">
      <alignment horizontal="center" vertical="center"/>
    </xf>
    <xf numFmtId="176" fontId="11" fillId="3" borderId="8" xfId="4" applyNumberFormat="1" applyFont="1" applyFill="1" applyBorder="1" applyAlignment="1">
      <alignment horizontal="center" vertical="center"/>
    </xf>
    <xf numFmtId="20" fontId="11" fillId="3" borderId="8" xfId="3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20" fontId="16" fillId="6" borderId="8" xfId="3" applyNumberFormat="1" applyFont="1" applyFill="1" applyBorder="1" applyAlignment="1">
      <alignment horizontal="center" vertical="center"/>
    </xf>
    <xf numFmtId="0" fontId="12" fillId="0" borderId="8" xfId="6" applyFont="1" applyFill="1" applyBorder="1" applyAlignment="1">
      <alignment horizontal="center" vertical="center"/>
    </xf>
    <xf numFmtId="176" fontId="11" fillId="4" borderId="8" xfId="4" applyNumberFormat="1" applyFont="1" applyFill="1" applyBorder="1" applyAlignment="1">
      <alignment horizontal="center" vertical="center"/>
    </xf>
    <xf numFmtId="0" fontId="11" fillId="0" borderId="8" xfId="5" applyFont="1" applyFill="1" applyBorder="1" applyAlignment="1">
      <alignment horizontal="center" vertical="center" wrapText="1"/>
    </xf>
    <xf numFmtId="176" fontId="11" fillId="0" borderId="8" xfId="4" applyNumberFormat="1" applyFont="1" applyFill="1" applyBorder="1" applyAlignment="1">
      <alignment horizontal="center" vertical="center" wrapText="1"/>
    </xf>
    <xf numFmtId="9" fontId="13" fillId="0" borderId="6" xfId="2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9" fontId="13" fillId="0" borderId="0" xfId="2" applyFont="1" applyBorder="1" applyAlignment="1">
      <alignment horizontal="center" vertical="center" wrapText="1"/>
    </xf>
    <xf numFmtId="0" fontId="9" fillId="0" borderId="6" xfId="3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/>
    </xf>
    <xf numFmtId="3" fontId="12" fillId="3" borderId="10" xfId="4" applyNumberFormat="1" applyFont="1" applyFill="1" applyBorder="1" applyAlignment="1">
      <alignment horizontal="center" vertical="center" wrapText="1"/>
    </xf>
    <xf numFmtId="0" fontId="11" fillId="3" borderId="10" xfId="6" applyFont="1" applyFill="1" applyBorder="1" applyAlignment="1">
      <alignment horizontal="center" vertical="center"/>
    </xf>
    <xf numFmtId="0" fontId="11" fillId="0" borderId="15" xfId="3" applyFont="1" applyFill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 wrapText="1"/>
    </xf>
    <xf numFmtId="3" fontId="24" fillId="0" borderId="16" xfId="0" applyNumberFormat="1" applyFont="1" applyBorder="1" applyAlignment="1">
      <alignment horizontal="center" vertical="center" wrapText="1"/>
    </xf>
    <xf numFmtId="3" fontId="11" fillId="0" borderId="0" xfId="3" applyNumberFormat="1" applyFont="1" applyFill="1" applyBorder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20" fontId="11" fillId="0" borderId="8" xfId="6" applyNumberFormat="1" applyFont="1" applyFill="1" applyBorder="1" applyAlignment="1">
      <alignment horizontal="center" vertical="center"/>
    </xf>
    <xf numFmtId="0" fontId="17" fillId="0" borderId="8" xfId="3" applyFont="1" applyFill="1" applyBorder="1" applyAlignment="1">
      <alignment horizontal="center" vertical="center"/>
    </xf>
    <xf numFmtId="20" fontId="17" fillId="0" borderId="8" xfId="3" applyNumberFormat="1" applyFont="1" applyFill="1" applyBorder="1" applyAlignment="1">
      <alignment horizontal="center" vertical="center"/>
    </xf>
    <xf numFmtId="0" fontId="11" fillId="0" borderId="10" xfId="3" applyFont="1" applyFill="1" applyBorder="1" applyAlignment="1">
      <alignment horizontal="center" vertical="center"/>
    </xf>
    <xf numFmtId="0" fontId="17" fillId="0" borderId="12" xfId="3" applyFont="1" applyFill="1" applyBorder="1" applyAlignment="1">
      <alignment horizontal="center" vertical="center"/>
    </xf>
    <xf numFmtId="20" fontId="17" fillId="0" borderId="12" xfId="3" applyNumberFormat="1" applyFont="1" applyFill="1" applyBorder="1" applyAlignment="1">
      <alignment horizontal="center" vertical="center"/>
    </xf>
    <xf numFmtId="14" fontId="17" fillId="0" borderId="12" xfId="3" applyNumberFormat="1" applyFont="1" applyFill="1" applyBorder="1" applyAlignment="1">
      <alignment horizontal="center" vertical="center"/>
    </xf>
    <xf numFmtId="0" fontId="11" fillId="0" borderId="12" xfId="6" applyFont="1" applyFill="1" applyBorder="1" applyAlignment="1">
      <alignment horizontal="center" vertical="center"/>
    </xf>
    <xf numFmtId="0" fontId="11" fillId="3" borderId="12" xfId="6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20" fontId="17" fillId="3" borderId="8" xfId="3" applyNumberFormat="1" applyFont="1" applyFill="1" applyBorder="1" applyAlignment="1">
      <alignment horizontal="center" vertical="center"/>
    </xf>
    <xf numFmtId="14" fontId="17" fillId="3" borderId="8" xfId="3" applyNumberFormat="1" applyFont="1" applyFill="1" applyBorder="1" applyAlignment="1">
      <alignment horizontal="center" vertical="center"/>
    </xf>
    <xf numFmtId="20" fontId="17" fillId="3" borderId="8" xfId="6" applyNumberFormat="1" applyFont="1" applyFill="1" applyBorder="1" applyAlignment="1">
      <alignment horizontal="center" vertical="center"/>
    </xf>
    <xf numFmtId="0" fontId="17" fillId="3" borderId="12" xfId="5" applyFont="1" applyFill="1" applyBorder="1" applyAlignment="1">
      <alignment horizontal="center" vertical="center" wrapText="1"/>
    </xf>
    <xf numFmtId="0" fontId="17" fillId="3" borderId="12" xfId="5" applyFont="1" applyFill="1" applyBorder="1" applyAlignment="1">
      <alignment horizontal="center" vertical="center"/>
    </xf>
    <xf numFmtId="176" fontId="17" fillId="3" borderId="12" xfId="4" applyNumberFormat="1" applyFont="1" applyFill="1" applyBorder="1" applyAlignment="1">
      <alignment horizontal="center" vertical="center" wrapText="1"/>
    </xf>
    <xf numFmtId="177" fontId="17" fillId="3" borderId="12" xfId="4" applyNumberFormat="1" applyFont="1" applyFill="1" applyBorder="1" applyAlignment="1">
      <alignment horizontal="center" vertical="center" wrapText="1"/>
    </xf>
    <xf numFmtId="14" fontId="17" fillId="3" borderId="12" xfId="5" applyNumberFormat="1" applyFont="1" applyFill="1" applyBorder="1" applyAlignment="1">
      <alignment horizontal="center" vertical="center"/>
    </xf>
    <xf numFmtId="20" fontId="17" fillId="3" borderId="12" xfId="5" applyNumberFormat="1" applyFont="1" applyFill="1" applyBorder="1" applyAlignment="1">
      <alignment horizontal="center" vertical="center"/>
    </xf>
    <xf numFmtId="41" fontId="17" fillId="3" borderId="12" xfId="4" applyFont="1" applyFill="1" applyBorder="1" applyAlignment="1">
      <alignment horizontal="center" vertical="center" wrapText="1"/>
    </xf>
    <xf numFmtId="0" fontId="17" fillId="3" borderId="12" xfId="6" applyFont="1" applyFill="1" applyBorder="1" applyAlignment="1">
      <alignment horizontal="center" vertical="center"/>
    </xf>
    <xf numFmtId="0" fontId="25" fillId="0" borderId="8" xfId="3" applyFont="1" applyFill="1" applyBorder="1" applyAlignment="1">
      <alignment horizontal="center" vertical="center"/>
    </xf>
    <xf numFmtId="0" fontId="17" fillId="3" borderId="8" xfId="5" applyFont="1" applyFill="1" applyBorder="1" applyAlignment="1">
      <alignment horizontal="center" vertical="center" wrapText="1"/>
    </xf>
    <xf numFmtId="0" fontId="17" fillId="3" borderId="8" xfId="5" applyFont="1" applyFill="1" applyBorder="1" applyAlignment="1">
      <alignment horizontal="center" vertical="center"/>
    </xf>
    <xf numFmtId="176" fontId="17" fillId="3" borderId="8" xfId="4" applyNumberFormat="1" applyFont="1" applyFill="1" applyBorder="1" applyAlignment="1">
      <alignment horizontal="center" vertical="center" wrapText="1"/>
    </xf>
    <xf numFmtId="177" fontId="17" fillId="3" borderId="8" xfId="4" applyNumberFormat="1" applyFont="1" applyFill="1" applyBorder="1" applyAlignment="1">
      <alignment horizontal="center" vertical="center" wrapText="1"/>
    </xf>
    <xf numFmtId="14" fontId="17" fillId="3" borderId="8" xfId="5" applyNumberFormat="1" applyFont="1" applyFill="1" applyBorder="1" applyAlignment="1">
      <alignment horizontal="center" vertical="center"/>
    </xf>
    <xf numFmtId="20" fontId="17" fillId="3" borderId="8" xfId="5" applyNumberFormat="1" applyFont="1" applyFill="1" applyBorder="1" applyAlignment="1">
      <alignment horizontal="center" vertical="center"/>
    </xf>
    <xf numFmtId="3" fontId="17" fillId="3" borderId="8" xfId="4" applyNumberFormat="1" applyFont="1" applyFill="1" applyBorder="1" applyAlignment="1">
      <alignment horizontal="center" vertical="center" wrapText="1"/>
    </xf>
    <xf numFmtId="41" fontId="17" fillId="3" borderId="8" xfId="4" applyFont="1" applyFill="1" applyBorder="1" applyAlignment="1">
      <alignment horizontal="center" vertical="center" wrapText="1"/>
    </xf>
    <xf numFmtId="176" fontId="17" fillId="3" borderId="8" xfId="3" applyNumberFormat="1" applyFont="1" applyFill="1" applyBorder="1" applyAlignment="1">
      <alignment horizontal="center" vertical="center"/>
    </xf>
    <xf numFmtId="0" fontId="17" fillId="3" borderId="8" xfId="6" applyFont="1" applyFill="1" applyBorder="1" applyAlignment="1">
      <alignment horizontal="center" vertical="center"/>
    </xf>
    <xf numFmtId="3" fontId="17" fillId="0" borderId="8" xfId="4" applyNumberFormat="1" applyFont="1" applyFill="1" applyBorder="1" applyAlignment="1">
      <alignment horizontal="center" vertical="center" wrapText="1"/>
    </xf>
    <xf numFmtId="41" fontId="17" fillId="0" borderId="8" xfId="4" applyFont="1" applyFill="1" applyBorder="1" applyAlignment="1">
      <alignment horizontal="center" vertical="center" wrapText="1"/>
    </xf>
    <xf numFmtId="176" fontId="17" fillId="0" borderId="8" xfId="3" applyNumberFormat="1" applyFont="1" applyFill="1" applyBorder="1" applyAlignment="1">
      <alignment horizontal="center" vertical="center"/>
    </xf>
    <xf numFmtId="0" fontId="17" fillId="0" borderId="8" xfId="6" applyFont="1" applyFill="1" applyBorder="1" applyAlignment="1">
      <alignment horizontal="center" vertical="center"/>
    </xf>
    <xf numFmtId="177" fontId="12" fillId="3" borderId="12" xfId="4" applyNumberFormat="1" applyFont="1" applyFill="1" applyBorder="1" applyAlignment="1">
      <alignment horizontal="center" vertical="center"/>
    </xf>
    <xf numFmtId="20" fontId="11" fillId="3" borderId="12" xfId="3" applyNumberFormat="1" applyFont="1" applyFill="1" applyBorder="1" applyAlignment="1">
      <alignment horizontal="center" vertical="center"/>
    </xf>
    <xf numFmtId="0" fontId="11" fillId="0" borderId="19" xfId="3" applyFont="1" applyFill="1" applyBorder="1" applyAlignment="1">
      <alignment horizontal="center" vertical="center"/>
    </xf>
    <xf numFmtId="0" fontId="11" fillId="0" borderId="10" xfId="3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/>
    </xf>
    <xf numFmtId="14" fontId="11" fillId="0" borderId="10" xfId="3" applyNumberFormat="1" applyFont="1" applyFill="1" applyBorder="1" applyAlignment="1">
      <alignment horizontal="center" vertical="center"/>
    </xf>
    <xf numFmtId="179" fontId="11" fillId="0" borderId="10" xfId="3" applyNumberFormat="1" applyFont="1" applyFill="1" applyBorder="1" applyAlignment="1">
      <alignment horizontal="center" vertical="center"/>
    </xf>
    <xf numFmtId="20" fontId="11" fillId="0" borderId="10" xfId="3" applyNumberFormat="1" applyFont="1" applyFill="1" applyBorder="1" applyAlignment="1">
      <alignment horizontal="center" vertical="center"/>
    </xf>
    <xf numFmtId="3" fontId="12" fillId="0" borderId="10" xfId="3" applyNumberFormat="1" applyFont="1" applyFill="1" applyBorder="1" applyAlignment="1">
      <alignment horizontal="center" vertical="center"/>
    </xf>
    <xf numFmtId="0" fontId="25" fillId="3" borderId="10" xfId="3" applyFont="1" applyFill="1" applyBorder="1" applyAlignment="1">
      <alignment horizontal="center" vertical="center"/>
    </xf>
    <xf numFmtId="41" fontId="16" fillId="0" borderId="9" xfId="4" applyFont="1" applyFill="1" applyBorder="1" applyAlignment="1">
      <alignment horizontal="center" vertical="center" wrapText="1"/>
    </xf>
    <xf numFmtId="0" fontId="11" fillId="6" borderId="8" xfId="3" applyFont="1" applyFill="1" applyBorder="1" applyAlignment="1">
      <alignment horizontal="center" vertical="center"/>
    </xf>
    <xf numFmtId="176" fontId="11" fillId="6" borderId="8" xfId="4" applyNumberFormat="1" applyFont="1" applyFill="1" applyBorder="1" applyAlignment="1">
      <alignment horizontal="center" vertical="center"/>
    </xf>
    <xf numFmtId="177" fontId="11" fillId="6" borderId="8" xfId="4" applyNumberFormat="1" applyFont="1" applyFill="1" applyBorder="1" applyAlignment="1">
      <alignment horizontal="center" vertical="center"/>
    </xf>
    <xf numFmtId="177" fontId="12" fillId="6" borderId="8" xfId="4" applyNumberFormat="1" applyFont="1" applyFill="1" applyBorder="1" applyAlignment="1">
      <alignment horizontal="center" vertical="center"/>
    </xf>
    <xf numFmtId="14" fontId="11" fillId="6" borderId="8" xfId="3" applyNumberFormat="1" applyFont="1" applyFill="1" applyBorder="1" applyAlignment="1">
      <alignment horizontal="center" vertical="center"/>
    </xf>
    <xf numFmtId="3" fontId="12" fillId="6" borderId="8" xfId="4" applyNumberFormat="1" applyFont="1" applyFill="1" applyBorder="1" applyAlignment="1">
      <alignment horizontal="center" vertical="center" wrapText="1"/>
    </xf>
    <xf numFmtId="176" fontId="11" fillId="6" borderId="8" xfId="3" applyNumberFormat="1" applyFont="1" applyFill="1" applyBorder="1" applyAlignment="1">
      <alignment horizontal="center" vertical="center"/>
    </xf>
    <xf numFmtId="0" fontId="11" fillId="6" borderId="8" xfId="6" applyFont="1" applyFill="1" applyBorder="1" applyAlignment="1">
      <alignment horizontal="center" vertical="center"/>
    </xf>
    <xf numFmtId="181" fontId="12" fillId="0" borderId="8" xfId="1" applyNumberFormat="1" applyFont="1" applyFill="1" applyBorder="1" applyAlignment="1">
      <alignment vertical="center" wrapText="1"/>
    </xf>
    <xf numFmtId="0" fontId="11" fillId="0" borderId="20" xfId="3" applyFont="1" applyFill="1" applyBorder="1" applyAlignment="1">
      <alignment horizontal="center" vertical="center"/>
    </xf>
    <xf numFmtId="3" fontId="12" fillId="3" borderId="20" xfId="4" applyNumberFormat="1" applyFont="1" applyFill="1" applyBorder="1" applyAlignment="1">
      <alignment horizontal="center" vertical="center" wrapText="1"/>
    </xf>
    <xf numFmtId="0" fontId="11" fillId="3" borderId="20" xfId="6" applyFont="1" applyFill="1" applyBorder="1" applyAlignment="1">
      <alignment horizontal="center" vertical="center"/>
    </xf>
    <xf numFmtId="176" fontId="11" fillId="0" borderId="20" xfId="3" applyNumberFormat="1" applyFont="1" applyFill="1" applyBorder="1" applyAlignment="1">
      <alignment horizontal="center" vertical="center"/>
    </xf>
    <xf numFmtId="41" fontId="11" fillId="0" borderId="20" xfId="4" applyFont="1" applyFill="1" applyBorder="1" applyAlignment="1">
      <alignment horizontal="center" vertical="center" wrapText="1"/>
    </xf>
    <xf numFmtId="41" fontId="11" fillId="0" borderId="21" xfId="4" applyFont="1" applyFill="1" applyBorder="1" applyAlignment="1">
      <alignment horizontal="center" vertical="center" wrapText="1"/>
    </xf>
    <xf numFmtId="0" fontId="11" fillId="3" borderId="22" xfId="3" applyFont="1" applyFill="1" applyBorder="1" applyAlignment="1">
      <alignment horizontal="center" vertical="center"/>
    </xf>
    <xf numFmtId="176" fontId="11" fillId="3" borderId="22" xfId="3" applyNumberFormat="1" applyFont="1" applyFill="1" applyBorder="1" applyAlignment="1">
      <alignment horizontal="center" vertical="center"/>
    </xf>
    <xf numFmtId="177" fontId="11" fillId="3" borderId="22" xfId="4" applyNumberFormat="1" applyFont="1" applyFill="1" applyBorder="1" applyAlignment="1">
      <alignment horizontal="center" vertical="center"/>
    </xf>
    <xf numFmtId="177" fontId="12" fillId="3" borderId="22" xfId="4" applyNumberFormat="1" applyFont="1" applyFill="1" applyBorder="1" applyAlignment="1">
      <alignment horizontal="center" vertical="center"/>
    </xf>
    <xf numFmtId="14" fontId="11" fillId="3" borderId="22" xfId="3" applyNumberFormat="1" applyFont="1" applyFill="1" applyBorder="1" applyAlignment="1">
      <alignment horizontal="center" vertical="center"/>
    </xf>
    <xf numFmtId="179" fontId="11" fillId="3" borderId="22" xfId="3" applyNumberFormat="1" applyFont="1" applyFill="1" applyBorder="1" applyAlignment="1">
      <alignment horizontal="center" vertical="center"/>
    </xf>
    <xf numFmtId="20" fontId="11" fillId="3" borderId="22" xfId="6" applyNumberFormat="1" applyFont="1" applyFill="1" applyBorder="1" applyAlignment="1">
      <alignment horizontal="center" vertical="center"/>
    </xf>
    <xf numFmtId="0" fontId="11" fillId="0" borderId="23" xfId="3" applyFont="1" applyFill="1" applyBorder="1" applyAlignment="1">
      <alignment horizontal="center" vertical="center"/>
    </xf>
    <xf numFmtId="176" fontId="11" fillId="0" borderId="23" xfId="3" applyNumberFormat="1" applyFont="1" applyFill="1" applyBorder="1" applyAlignment="1">
      <alignment horizontal="center" vertical="center"/>
    </xf>
    <xf numFmtId="177" fontId="11" fillId="0" borderId="23" xfId="4" applyNumberFormat="1" applyFont="1" applyFill="1" applyBorder="1" applyAlignment="1">
      <alignment horizontal="center" vertical="center"/>
    </xf>
    <xf numFmtId="179" fontId="11" fillId="0" borderId="12" xfId="3" applyNumberFormat="1" applyFont="1" applyFill="1" applyBorder="1" applyAlignment="1">
      <alignment horizontal="center" vertical="center"/>
    </xf>
    <xf numFmtId="20" fontId="11" fillId="0" borderId="12" xfId="6" applyNumberFormat="1" applyFont="1" applyFill="1" applyBorder="1" applyAlignment="1">
      <alignment horizontal="center" vertical="center"/>
    </xf>
    <xf numFmtId="41" fontId="11" fillId="0" borderId="24" xfId="4" applyFont="1" applyFill="1" applyBorder="1" applyAlignment="1">
      <alignment horizontal="center" vertical="center" wrapText="1"/>
    </xf>
    <xf numFmtId="14" fontId="11" fillId="3" borderId="12" xfId="3" applyNumberFormat="1" applyFont="1" applyFill="1" applyBorder="1" applyAlignment="1">
      <alignment horizontal="center" vertical="center"/>
    </xf>
    <xf numFmtId="3" fontId="12" fillId="3" borderId="12" xfId="4" applyNumberFormat="1" applyFont="1" applyFill="1" applyBorder="1" applyAlignment="1">
      <alignment horizontal="center" vertical="center" wrapText="1"/>
    </xf>
    <xf numFmtId="176" fontId="11" fillId="0" borderId="10" xfId="4" applyNumberFormat="1" applyFont="1" applyFill="1" applyBorder="1" applyAlignment="1">
      <alignment horizontal="center" vertical="center"/>
    </xf>
    <xf numFmtId="177" fontId="11" fillId="0" borderId="10" xfId="4" applyNumberFormat="1" applyFont="1" applyFill="1" applyBorder="1" applyAlignment="1">
      <alignment horizontal="center" vertical="center"/>
    </xf>
    <xf numFmtId="177" fontId="12" fillId="3" borderId="10" xfId="4" applyNumberFormat="1" applyFont="1" applyFill="1" applyBorder="1" applyAlignment="1">
      <alignment horizontal="center" vertical="center"/>
    </xf>
    <xf numFmtId="179" fontId="17" fillId="3" borderId="8" xfId="3" applyNumberFormat="1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center"/>
    </xf>
    <xf numFmtId="176" fontId="11" fillId="3" borderId="22" xfId="4" applyNumberFormat="1" applyFont="1" applyFill="1" applyBorder="1" applyAlignment="1">
      <alignment horizontal="center" vertical="center"/>
    </xf>
    <xf numFmtId="20" fontId="11" fillId="3" borderId="22" xfId="3" applyNumberFormat="1" applyFont="1" applyFill="1" applyBorder="1" applyAlignment="1">
      <alignment horizontal="center" vertical="center"/>
    </xf>
    <xf numFmtId="3" fontId="12" fillId="3" borderId="22" xfId="4" applyNumberFormat="1" applyFont="1" applyFill="1" applyBorder="1" applyAlignment="1">
      <alignment horizontal="center" vertical="center" wrapText="1"/>
    </xf>
    <xf numFmtId="0" fontId="11" fillId="3" borderId="22" xfId="6" applyFont="1" applyFill="1" applyBorder="1" applyAlignment="1">
      <alignment horizontal="center" vertical="center"/>
    </xf>
    <xf numFmtId="0" fontId="11" fillId="3" borderId="0" xfId="3" applyFont="1" applyFill="1" applyBorder="1" applyAlignment="1">
      <alignment horizontal="center" vertical="center"/>
    </xf>
    <xf numFmtId="176" fontId="11" fillId="3" borderId="0" xfId="4" applyNumberFormat="1" applyFont="1" applyFill="1" applyBorder="1" applyAlignment="1">
      <alignment horizontal="center" vertical="center"/>
    </xf>
    <xf numFmtId="177" fontId="11" fillId="3" borderId="0" xfId="4" applyNumberFormat="1" applyFont="1" applyFill="1" applyBorder="1" applyAlignment="1">
      <alignment horizontal="center" vertical="center"/>
    </xf>
    <xf numFmtId="177" fontId="12" fillId="3" borderId="0" xfId="4" applyNumberFormat="1" applyFont="1" applyFill="1" applyBorder="1" applyAlignment="1">
      <alignment horizontal="center" vertical="center"/>
    </xf>
    <xf numFmtId="20" fontId="11" fillId="3" borderId="0" xfId="3" applyNumberFormat="1" applyFont="1" applyFill="1" applyBorder="1" applyAlignment="1">
      <alignment horizontal="center" vertical="center"/>
    </xf>
    <xf numFmtId="14" fontId="11" fillId="3" borderId="0" xfId="3" applyNumberFormat="1" applyFont="1" applyFill="1" applyBorder="1" applyAlignment="1">
      <alignment horizontal="center" vertical="center"/>
    </xf>
    <xf numFmtId="3" fontId="12" fillId="3" borderId="0" xfId="4" applyNumberFormat="1" applyFont="1" applyFill="1" applyBorder="1" applyAlignment="1">
      <alignment horizontal="center" vertical="center" wrapText="1"/>
    </xf>
    <xf numFmtId="0" fontId="11" fillId="3" borderId="0" xfId="6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41" fontId="11" fillId="0" borderId="0" xfId="4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horizontal="center" vertical="center"/>
    </xf>
    <xf numFmtId="177" fontId="12" fillId="0" borderId="0" xfId="3" applyNumberFormat="1" applyFont="1" applyFill="1" applyBorder="1" applyAlignment="1">
      <alignment horizontal="center" vertical="center"/>
    </xf>
    <xf numFmtId="0" fontId="12" fillId="4" borderId="25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vertical="center"/>
    </xf>
    <xf numFmtId="0" fontId="12" fillId="5" borderId="26" xfId="3" applyFont="1" applyFill="1" applyBorder="1" applyAlignment="1">
      <alignment horizontal="center" vertical="center"/>
    </xf>
    <xf numFmtId="0" fontId="12" fillId="6" borderId="27" xfId="3" applyFont="1" applyFill="1" applyBorder="1" applyAlignment="1">
      <alignment horizontal="center" vertical="center"/>
    </xf>
    <xf numFmtId="177" fontId="11" fillId="0" borderId="0" xfId="3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vertical="center"/>
    </xf>
    <xf numFmtId="3" fontId="11" fillId="0" borderId="0" xfId="3" applyNumberFormat="1" applyFont="1" applyFill="1" applyBorder="1" applyAlignment="1">
      <alignment vertical="center"/>
    </xf>
    <xf numFmtId="0" fontId="7" fillId="0" borderId="0" xfId="3" applyFont="1" applyFill="1" applyBorder="1" applyAlignment="1">
      <alignment horizontal="center" vertical="center"/>
    </xf>
    <xf numFmtId="176" fontId="7" fillId="0" borderId="0" xfId="3" applyNumberFormat="1" applyFont="1" applyFill="1" applyBorder="1" applyAlignment="1">
      <alignment vertical="center"/>
    </xf>
    <xf numFmtId="14" fontId="17" fillId="6" borderId="8" xfId="3" applyNumberFormat="1" applyFont="1" applyFill="1" applyBorder="1" applyAlignment="1">
      <alignment horizontal="center" vertical="center"/>
    </xf>
    <xf numFmtId="41" fontId="11" fillId="6" borderId="9" xfId="4" applyFont="1" applyFill="1" applyBorder="1" applyAlignment="1">
      <alignment horizontal="center" vertical="center" wrapText="1"/>
    </xf>
    <xf numFmtId="0" fontId="17" fillId="6" borderId="8" xfId="3" applyFont="1" applyFill="1" applyBorder="1" applyAlignment="1">
      <alignment horizontal="center" vertical="center"/>
    </xf>
    <xf numFmtId="41" fontId="17" fillId="0" borderId="9" xfId="4" applyFont="1" applyFill="1" applyBorder="1" applyAlignment="1">
      <alignment horizontal="center" vertical="center" wrapText="1"/>
    </xf>
    <xf numFmtId="176" fontId="17" fillId="0" borderId="8" xfId="4" applyNumberFormat="1" applyFont="1" applyFill="1" applyBorder="1" applyAlignment="1">
      <alignment horizontal="center" vertical="center"/>
    </xf>
    <xf numFmtId="177" fontId="17" fillId="0" borderId="8" xfId="4" applyNumberFormat="1" applyFont="1" applyFill="1" applyBorder="1" applyAlignment="1">
      <alignment horizontal="center" vertical="center"/>
    </xf>
    <xf numFmtId="3" fontId="17" fillId="0" borderId="12" xfId="4" applyNumberFormat="1" applyFont="1" applyFill="1" applyBorder="1" applyAlignment="1">
      <alignment horizontal="center" vertical="center" wrapText="1"/>
    </xf>
    <xf numFmtId="3" fontId="17" fillId="3" borderId="12" xfId="4" applyNumberFormat="1" applyFont="1" applyFill="1" applyBorder="1" applyAlignment="1">
      <alignment horizontal="center" vertical="center" wrapText="1"/>
    </xf>
    <xf numFmtId="3" fontId="17" fillId="0" borderId="8" xfId="3" applyNumberFormat="1" applyFont="1" applyFill="1" applyBorder="1" applyAlignment="1">
      <alignment horizontal="center" vertical="center"/>
    </xf>
    <xf numFmtId="177" fontId="17" fillId="3" borderId="8" xfId="4" applyNumberFormat="1" applyFont="1" applyFill="1" applyBorder="1" applyAlignment="1">
      <alignment horizontal="center" vertical="center"/>
    </xf>
    <xf numFmtId="0" fontId="17" fillId="3" borderId="10" xfId="5" applyFont="1" applyFill="1" applyBorder="1" applyAlignment="1">
      <alignment horizontal="center" vertical="center" wrapText="1"/>
    </xf>
    <xf numFmtId="0" fontId="17" fillId="3" borderId="10" xfId="5" applyFont="1" applyFill="1" applyBorder="1" applyAlignment="1">
      <alignment horizontal="center" vertical="center"/>
    </xf>
    <xf numFmtId="176" fontId="17" fillId="3" borderId="10" xfId="4" applyNumberFormat="1" applyFont="1" applyFill="1" applyBorder="1" applyAlignment="1">
      <alignment horizontal="center" vertical="center" wrapText="1"/>
    </xf>
    <xf numFmtId="177" fontId="17" fillId="3" borderId="10" xfId="4" applyNumberFormat="1" applyFont="1" applyFill="1" applyBorder="1" applyAlignment="1">
      <alignment horizontal="center" vertical="center" wrapText="1"/>
    </xf>
    <xf numFmtId="14" fontId="17" fillId="3" borderId="10" xfId="5" applyNumberFormat="1" applyFont="1" applyFill="1" applyBorder="1" applyAlignment="1">
      <alignment horizontal="center" vertical="center"/>
    </xf>
    <xf numFmtId="20" fontId="17" fillId="3" borderId="10" xfId="5" applyNumberFormat="1" applyFont="1" applyFill="1" applyBorder="1" applyAlignment="1">
      <alignment horizontal="center" vertical="center"/>
    </xf>
    <xf numFmtId="3" fontId="17" fillId="0" borderId="10" xfId="4" applyNumberFormat="1" applyFont="1" applyFill="1" applyBorder="1" applyAlignment="1">
      <alignment horizontal="center" vertical="center" wrapText="1"/>
    </xf>
    <xf numFmtId="41" fontId="17" fillId="0" borderId="10" xfId="4" applyFont="1" applyFill="1" applyBorder="1" applyAlignment="1">
      <alignment horizontal="center" vertical="center" wrapText="1"/>
    </xf>
    <xf numFmtId="176" fontId="17" fillId="0" borderId="10" xfId="3" applyNumberFormat="1" applyFont="1" applyFill="1" applyBorder="1" applyAlignment="1">
      <alignment horizontal="center" vertical="center"/>
    </xf>
    <xf numFmtId="41" fontId="17" fillId="3" borderId="10" xfId="4" applyFont="1" applyFill="1" applyBorder="1" applyAlignment="1">
      <alignment horizontal="center" vertical="center" wrapText="1"/>
    </xf>
    <xf numFmtId="0" fontId="17" fillId="3" borderId="10" xfId="3" applyFont="1" applyFill="1" applyBorder="1" applyAlignment="1">
      <alignment horizontal="center" vertical="center"/>
    </xf>
    <xf numFmtId="41" fontId="17" fillId="0" borderId="11" xfId="4" applyFont="1" applyFill="1" applyBorder="1" applyAlignment="1">
      <alignment horizontal="center" vertical="center" wrapText="1"/>
    </xf>
    <xf numFmtId="0" fontId="17" fillId="0" borderId="12" xfId="5" applyFont="1" applyFill="1" applyBorder="1" applyAlignment="1">
      <alignment horizontal="center" vertical="center" wrapText="1"/>
    </xf>
    <xf numFmtId="0" fontId="17" fillId="0" borderId="12" xfId="5" applyFont="1" applyFill="1" applyBorder="1" applyAlignment="1">
      <alignment horizontal="center" vertical="center"/>
    </xf>
    <xf numFmtId="176" fontId="17" fillId="0" borderId="12" xfId="4" applyNumberFormat="1" applyFont="1" applyFill="1" applyBorder="1" applyAlignment="1">
      <alignment horizontal="center" vertical="center" wrapText="1"/>
    </xf>
    <xf numFmtId="177" fontId="17" fillId="0" borderId="12" xfId="4" applyNumberFormat="1" applyFont="1" applyFill="1" applyBorder="1" applyAlignment="1">
      <alignment horizontal="center" vertical="center" wrapText="1"/>
    </xf>
    <xf numFmtId="14" fontId="17" fillId="0" borderId="12" xfId="5" applyNumberFormat="1" applyFont="1" applyFill="1" applyBorder="1" applyAlignment="1">
      <alignment horizontal="center" vertical="center"/>
    </xf>
    <xf numFmtId="20" fontId="17" fillId="0" borderId="12" xfId="5" applyNumberFormat="1" applyFont="1" applyFill="1" applyBorder="1" applyAlignment="1">
      <alignment horizontal="center" vertical="center"/>
    </xf>
    <xf numFmtId="41" fontId="17" fillId="0" borderId="12" xfId="4" applyFont="1" applyFill="1" applyBorder="1" applyAlignment="1">
      <alignment horizontal="center" vertical="center" wrapText="1"/>
    </xf>
    <xf numFmtId="176" fontId="17" fillId="0" borderId="12" xfId="3" applyNumberFormat="1" applyFont="1" applyFill="1" applyBorder="1" applyAlignment="1">
      <alignment horizontal="center" vertical="center"/>
    </xf>
    <xf numFmtId="0" fontId="17" fillId="3" borderId="12" xfId="3" applyFont="1" applyFill="1" applyBorder="1" applyAlignment="1">
      <alignment horizontal="center" vertical="center"/>
    </xf>
    <xf numFmtId="41" fontId="17" fillId="0" borderId="13" xfId="4" applyFont="1" applyFill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/>
    </xf>
    <xf numFmtId="176" fontId="17" fillId="0" borderId="8" xfId="3" applyNumberFormat="1" applyFont="1" applyBorder="1" applyAlignment="1">
      <alignment horizontal="center" vertical="center"/>
    </xf>
    <xf numFmtId="177" fontId="17" fillId="0" borderId="8" xfId="3" applyNumberFormat="1" applyFont="1" applyBorder="1" applyAlignment="1">
      <alignment horizontal="center" vertical="center"/>
    </xf>
    <xf numFmtId="0" fontId="17" fillId="0" borderId="9" xfId="3" applyFont="1" applyFill="1" applyBorder="1" applyAlignment="1">
      <alignment horizontal="center" vertical="center"/>
    </xf>
    <xf numFmtId="177" fontId="17" fillId="0" borderId="8" xfId="4" applyNumberFormat="1" applyFont="1" applyFill="1" applyBorder="1" applyAlignment="1">
      <alignment horizontal="center" vertical="center" wrapText="1"/>
    </xf>
    <xf numFmtId="0" fontId="17" fillId="0" borderId="8" xfId="5" applyFont="1" applyFill="1" applyBorder="1" applyAlignment="1">
      <alignment horizontal="center" vertical="center"/>
    </xf>
    <xf numFmtId="0" fontId="17" fillId="4" borderId="8" xfId="3" applyFont="1" applyFill="1" applyBorder="1" applyAlignment="1">
      <alignment horizontal="center" vertical="center"/>
    </xf>
    <xf numFmtId="176" fontId="17" fillId="4" borderId="8" xfId="3" applyNumberFormat="1" applyFont="1" applyFill="1" applyBorder="1" applyAlignment="1">
      <alignment horizontal="center" vertical="center"/>
    </xf>
    <xf numFmtId="177" fontId="17" fillId="4" borderId="8" xfId="3" applyNumberFormat="1" applyFont="1" applyFill="1" applyBorder="1" applyAlignment="1">
      <alignment horizontal="center" vertical="center"/>
    </xf>
    <xf numFmtId="20" fontId="17" fillId="4" borderId="8" xfId="3" applyNumberFormat="1" applyFont="1" applyFill="1" applyBorder="1" applyAlignment="1">
      <alignment horizontal="center" vertical="center"/>
    </xf>
    <xf numFmtId="14" fontId="17" fillId="4" borderId="8" xfId="3" applyNumberFormat="1" applyFont="1" applyFill="1" applyBorder="1" applyAlignment="1">
      <alignment horizontal="center" vertical="center"/>
    </xf>
    <xf numFmtId="3" fontId="17" fillId="4" borderId="8" xfId="4" applyNumberFormat="1" applyFont="1" applyFill="1" applyBorder="1" applyAlignment="1">
      <alignment horizontal="center" vertical="center" wrapText="1"/>
    </xf>
    <xf numFmtId="41" fontId="17" fillId="4" borderId="8" xfId="4" applyFont="1" applyFill="1" applyBorder="1" applyAlignment="1">
      <alignment horizontal="center" vertical="center" wrapText="1"/>
    </xf>
    <xf numFmtId="0" fontId="17" fillId="0" borderId="10" xfId="6" applyFont="1" applyFill="1" applyBorder="1" applyAlignment="1">
      <alignment horizontal="center" vertical="center"/>
    </xf>
    <xf numFmtId="176" fontId="17" fillId="0" borderId="12" xfId="4" applyNumberFormat="1" applyFont="1" applyFill="1" applyBorder="1" applyAlignment="1">
      <alignment horizontal="center" vertical="center"/>
    </xf>
    <xf numFmtId="177" fontId="17" fillId="0" borderId="12" xfId="4" applyNumberFormat="1" applyFont="1" applyFill="1" applyBorder="1" applyAlignment="1">
      <alignment horizontal="center" vertical="center"/>
    </xf>
    <xf numFmtId="0" fontId="17" fillId="4" borderId="8" xfId="5" applyFont="1" applyFill="1" applyBorder="1" applyAlignment="1">
      <alignment horizontal="center" vertical="center" wrapText="1"/>
    </xf>
    <xf numFmtId="0" fontId="17" fillId="4" borderId="8" xfId="5" applyFont="1" applyFill="1" applyBorder="1" applyAlignment="1">
      <alignment horizontal="center" vertical="center"/>
    </xf>
    <xf numFmtId="176" fontId="17" fillId="4" borderId="8" xfId="4" applyNumberFormat="1" applyFont="1" applyFill="1" applyBorder="1" applyAlignment="1">
      <alignment horizontal="center" vertical="center" wrapText="1"/>
    </xf>
    <xf numFmtId="177" fontId="17" fillId="4" borderId="8" xfId="4" applyNumberFormat="1" applyFont="1" applyFill="1" applyBorder="1" applyAlignment="1">
      <alignment horizontal="center" vertical="center" wrapText="1"/>
    </xf>
    <xf numFmtId="14" fontId="17" fillId="4" borderId="8" xfId="5" applyNumberFormat="1" applyFont="1" applyFill="1" applyBorder="1" applyAlignment="1">
      <alignment horizontal="center" vertical="center"/>
    </xf>
    <xf numFmtId="20" fontId="17" fillId="4" borderId="8" xfId="5" applyNumberFormat="1" applyFont="1" applyFill="1" applyBorder="1" applyAlignment="1">
      <alignment horizontal="center" vertical="center"/>
    </xf>
    <xf numFmtId="0" fontId="17" fillId="4" borderId="8" xfId="6" applyFont="1" applyFill="1" applyBorder="1" applyAlignment="1">
      <alignment horizontal="center" vertical="center"/>
    </xf>
    <xf numFmtId="0" fontId="17" fillId="4" borderId="8" xfId="3" applyFont="1" applyFill="1" applyBorder="1" applyAlignment="1">
      <alignment horizontal="center" vertical="center" wrapText="1"/>
    </xf>
    <xf numFmtId="3" fontId="17" fillId="4" borderId="8" xfId="3" applyNumberFormat="1" applyFont="1" applyFill="1" applyBorder="1" applyAlignment="1">
      <alignment horizontal="center" vertical="center"/>
    </xf>
    <xf numFmtId="179" fontId="17" fillId="4" borderId="8" xfId="3" applyNumberFormat="1" applyFont="1" applyFill="1" applyBorder="1" applyAlignment="1">
      <alignment horizontal="center" vertical="center"/>
    </xf>
    <xf numFmtId="0" fontId="17" fillId="4" borderId="8" xfId="4" applyNumberFormat="1" applyFont="1" applyFill="1" applyBorder="1" applyAlignment="1">
      <alignment horizontal="center" vertical="center" wrapText="1"/>
    </xf>
    <xf numFmtId="177" fontId="17" fillId="4" borderId="8" xfId="4" applyNumberFormat="1" applyFont="1" applyFill="1" applyBorder="1" applyAlignment="1">
      <alignment horizontal="center" vertical="center"/>
    </xf>
    <xf numFmtId="20" fontId="17" fillId="4" borderId="8" xfId="6" applyNumberFormat="1" applyFont="1" applyFill="1" applyBorder="1" applyAlignment="1">
      <alignment horizontal="center" vertical="center"/>
    </xf>
    <xf numFmtId="176" fontId="17" fillId="3" borderId="8" xfId="4" applyNumberFormat="1" applyFont="1" applyFill="1" applyBorder="1" applyAlignment="1">
      <alignment horizontal="center" vertical="center"/>
    </xf>
    <xf numFmtId="176" fontId="17" fillId="4" borderId="8" xfId="4" applyNumberFormat="1" applyFont="1" applyFill="1" applyBorder="1" applyAlignment="1">
      <alignment horizontal="center" vertical="center"/>
    </xf>
    <xf numFmtId="0" fontId="17" fillId="0" borderId="8" xfId="5" applyFont="1" applyFill="1" applyBorder="1" applyAlignment="1">
      <alignment horizontal="center" vertical="center" wrapText="1"/>
    </xf>
    <xf numFmtId="176" fontId="17" fillId="0" borderId="8" xfId="4" applyNumberFormat="1" applyFont="1" applyFill="1" applyBorder="1" applyAlignment="1">
      <alignment horizontal="center" vertical="center" wrapText="1"/>
    </xf>
    <xf numFmtId="14" fontId="17" fillId="0" borderId="8" xfId="5" applyNumberFormat="1" applyFont="1" applyFill="1" applyBorder="1" applyAlignment="1">
      <alignment horizontal="center" vertical="center"/>
    </xf>
    <xf numFmtId="20" fontId="17" fillId="0" borderId="8" xfId="5" applyNumberFormat="1" applyFont="1" applyFill="1" applyBorder="1" applyAlignment="1">
      <alignment horizontal="center" vertical="center"/>
    </xf>
    <xf numFmtId="3" fontId="17" fillId="3" borderId="10" xfId="4" applyNumberFormat="1" applyFont="1" applyFill="1" applyBorder="1" applyAlignment="1">
      <alignment horizontal="center" vertical="center" wrapText="1"/>
    </xf>
    <xf numFmtId="0" fontId="17" fillId="3" borderId="10" xfId="6" applyFont="1" applyFill="1" applyBorder="1" applyAlignment="1">
      <alignment horizontal="center" vertical="center"/>
    </xf>
    <xf numFmtId="0" fontId="17" fillId="0" borderId="8" xfId="3" applyFont="1" applyFill="1" applyBorder="1" applyAlignment="1">
      <alignment horizontal="center" vertical="center" wrapText="1"/>
    </xf>
    <xf numFmtId="176" fontId="17" fillId="3" borderId="10" xfId="4" applyNumberFormat="1" applyFont="1" applyFill="1" applyBorder="1" applyAlignment="1">
      <alignment horizontal="center" vertical="center"/>
    </xf>
    <xf numFmtId="177" fontId="17" fillId="3" borderId="10" xfId="4" applyNumberFormat="1" applyFont="1" applyFill="1" applyBorder="1" applyAlignment="1">
      <alignment horizontal="center" vertical="center"/>
    </xf>
    <xf numFmtId="20" fontId="17" fillId="3" borderId="10" xfId="3" applyNumberFormat="1" applyFont="1" applyFill="1" applyBorder="1" applyAlignment="1">
      <alignment horizontal="center" vertical="center"/>
    </xf>
    <xf numFmtId="14" fontId="17" fillId="3" borderId="10" xfId="3" applyNumberFormat="1" applyFont="1" applyFill="1" applyBorder="1" applyAlignment="1">
      <alignment horizontal="center" vertical="center"/>
    </xf>
    <xf numFmtId="0" fontId="17" fillId="4" borderId="12" xfId="5" applyFont="1" applyFill="1" applyBorder="1" applyAlignment="1">
      <alignment horizontal="center" vertical="center" wrapText="1"/>
    </xf>
    <xf numFmtId="0" fontId="17" fillId="4" borderId="12" xfId="5" applyFont="1" applyFill="1" applyBorder="1" applyAlignment="1">
      <alignment horizontal="center" vertical="center"/>
    </xf>
    <xf numFmtId="176" fontId="17" fillId="4" borderId="12" xfId="4" applyNumberFormat="1" applyFont="1" applyFill="1" applyBorder="1" applyAlignment="1">
      <alignment horizontal="center" vertical="center" wrapText="1"/>
    </xf>
    <xf numFmtId="177" fontId="17" fillId="4" borderId="12" xfId="4" applyNumberFormat="1" applyFont="1" applyFill="1" applyBorder="1" applyAlignment="1">
      <alignment horizontal="center" vertical="center" wrapText="1"/>
    </xf>
    <xf numFmtId="41" fontId="17" fillId="4" borderId="12" xfId="4" applyFont="1" applyFill="1" applyBorder="1" applyAlignment="1">
      <alignment horizontal="center" vertical="center" wrapText="1"/>
    </xf>
    <xf numFmtId="0" fontId="17" fillId="4" borderId="12" xfId="6" applyFont="1" applyFill="1" applyBorder="1" applyAlignment="1">
      <alignment horizontal="center" vertical="center"/>
    </xf>
    <xf numFmtId="14" fontId="17" fillId="4" borderId="12" xfId="5" applyNumberFormat="1" applyFont="1" applyFill="1" applyBorder="1" applyAlignment="1">
      <alignment horizontal="center" vertical="center"/>
    </xf>
    <xf numFmtId="20" fontId="17" fillId="4" borderId="12" xfId="5" applyNumberFormat="1" applyFont="1" applyFill="1" applyBorder="1" applyAlignment="1">
      <alignment horizontal="center" vertical="center"/>
    </xf>
    <xf numFmtId="3" fontId="17" fillId="4" borderId="12" xfId="4" applyNumberFormat="1" applyFont="1" applyFill="1" applyBorder="1" applyAlignment="1">
      <alignment horizontal="center" vertical="center" wrapText="1"/>
    </xf>
    <xf numFmtId="0" fontId="17" fillId="6" borderId="10" xfId="5" applyFont="1" applyFill="1" applyBorder="1" applyAlignment="1">
      <alignment horizontal="center" vertical="center" wrapText="1"/>
    </xf>
    <xf numFmtId="0" fontId="17" fillId="6" borderId="10" xfId="5" applyFont="1" applyFill="1" applyBorder="1" applyAlignment="1">
      <alignment horizontal="center" vertical="center"/>
    </xf>
    <xf numFmtId="176" fontId="17" fillId="6" borderId="10" xfId="4" applyNumberFormat="1" applyFont="1" applyFill="1" applyBorder="1" applyAlignment="1">
      <alignment horizontal="center" vertical="center" wrapText="1"/>
    </xf>
    <xf numFmtId="177" fontId="17" fillId="6" borderId="10" xfId="4" applyNumberFormat="1" applyFont="1" applyFill="1" applyBorder="1" applyAlignment="1">
      <alignment horizontal="center" vertical="center" wrapText="1"/>
    </xf>
    <xf numFmtId="0" fontId="17" fillId="6" borderId="10" xfId="6" applyFont="1" applyFill="1" applyBorder="1" applyAlignment="1">
      <alignment horizontal="center" vertical="center"/>
    </xf>
    <xf numFmtId="0" fontId="17" fillId="6" borderId="10" xfId="3" applyFont="1" applyFill="1" applyBorder="1" applyAlignment="1">
      <alignment horizontal="center" vertical="center"/>
    </xf>
    <xf numFmtId="0" fontId="17" fillId="0" borderId="10" xfId="3" applyFont="1" applyFill="1" applyBorder="1" applyAlignment="1">
      <alignment horizontal="center" vertical="center"/>
    </xf>
    <xf numFmtId="14" fontId="17" fillId="6" borderId="10" xfId="5" applyNumberFormat="1" applyFont="1" applyFill="1" applyBorder="1" applyAlignment="1">
      <alignment horizontal="center" vertical="center"/>
    </xf>
    <xf numFmtId="20" fontId="17" fillId="6" borderId="10" xfId="5" applyNumberFormat="1" applyFont="1" applyFill="1" applyBorder="1" applyAlignment="1">
      <alignment horizontal="center" vertical="center"/>
    </xf>
    <xf numFmtId="3" fontId="17" fillId="6" borderId="10" xfId="4" applyNumberFormat="1" applyFont="1" applyFill="1" applyBorder="1" applyAlignment="1">
      <alignment horizontal="center" vertical="center" wrapText="1"/>
    </xf>
    <xf numFmtId="0" fontId="17" fillId="0" borderId="7" xfId="3" applyFont="1" applyFill="1" applyBorder="1" applyAlignment="1">
      <alignment horizontal="center" vertical="center"/>
    </xf>
    <xf numFmtId="0" fontId="17" fillId="0" borderId="10" xfId="5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horizontal="center" vertical="center"/>
    </xf>
    <xf numFmtId="176" fontId="17" fillId="0" borderId="10" xfId="4" applyNumberFormat="1" applyFont="1" applyFill="1" applyBorder="1" applyAlignment="1">
      <alignment horizontal="center" vertical="center" wrapText="1"/>
    </xf>
    <xf numFmtId="177" fontId="17" fillId="0" borderId="10" xfId="4" applyNumberFormat="1" applyFont="1" applyFill="1" applyBorder="1" applyAlignment="1">
      <alignment horizontal="center" vertical="center" wrapText="1"/>
    </xf>
    <xf numFmtId="14" fontId="17" fillId="0" borderId="10" xfId="5" applyNumberFormat="1" applyFont="1" applyFill="1" applyBorder="1" applyAlignment="1">
      <alignment horizontal="center" vertical="center"/>
    </xf>
    <xf numFmtId="20" fontId="17" fillId="0" borderId="10" xfId="5" applyNumberFormat="1" applyFont="1" applyFill="1" applyBorder="1" applyAlignment="1">
      <alignment horizontal="center" vertical="center"/>
    </xf>
    <xf numFmtId="0" fontId="17" fillId="5" borderId="12" xfId="5" applyFont="1" applyFill="1" applyBorder="1" applyAlignment="1">
      <alignment horizontal="center" vertical="center" wrapText="1"/>
    </xf>
    <xf numFmtId="0" fontId="17" fillId="5" borderId="12" xfId="5" applyFont="1" applyFill="1" applyBorder="1" applyAlignment="1">
      <alignment horizontal="center" vertical="center"/>
    </xf>
    <xf numFmtId="176" fontId="17" fillId="5" borderId="12" xfId="4" applyNumberFormat="1" applyFont="1" applyFill="1" applyBorder="1" applyAlignment="1">
      <alignment horizontal="center" vertical="center" wrapText="1"/>
    </xf>
    <xf numFmtId="177" fontId="17" fillId="5" borderId="12" xfId="4" applyNumberFormat="1" applyFont="1" applyFill="1" applyBorder="1" applyAlignment="1">
      <alignment horizontal="center" vertical="center" wrapText="1"/>
    </xf>
    <xf numFmtId="41" fontId="17" fillId="5" borderId="12" xfId="4" applyFont="1" applyFill="1" applyBorder="1" applyAlignment="1">
      <alignment horizontal="center" vertical="center" wrapText="1"/>
    </xf>
    <xf numFmtId="0" fontId="17" fillId="5" borderId="12" xfId="6" applyFont="1" applyFill="1" applyBorder="1" applyAlignment="1">
      <alignment horizontal="center" vertical="center"/>
    </xf>
    <xf numFmtId="0" fontId="17" fillId="5" borderId="8" xfId="5" applyFont="1" applyFill="1" applyBorder="1" applyAlignment="1">
      <alignment horizontal="center" vertical="center" wrapText="1"/>
    </xf>
    <xf numFmtId="0" fontId="17" fillId="5" borderId="8" xfId="5" applyFont="1" applyFill="1" applyBorder="1" applyAlignment="1">
      <alignment horizontal="center" vertical="center"/>
    </xf>
    <xf numFmtId="176" fontId="17" fillId="5" borderId="8" xfId="4" applyNumberFormat="1" applyFont="1" applyFill="1" applyBorder="1" applyAlignment="1">
      <alignment horizontal="center" vertical="center" wrapText="1"/>
    </xf>
    <xf numFmtId="177" fontId="17" fillId="5" borderId="8" xfId="4" applyNumberFormat="1" applyFont="1" applyFill="1" applyBorder="1" applyAlignment="1">
      <alignment horizontal="center" vertical="center" wrapText="1"/>
    </xf>
    <xf numFmtId="41" fontId="17" fillId="5" borderId="8" xfId="4" applyFont="1" applyFill="1" applyBorder="1" applyAlignment="1">
      <alignment horizontal="center" vertical="center" wrapText="1"/>
    </xf>
    <xf numFmtId="176" fontId="17" fillId="5" borderId="8" xfId="3" applyNumberFormat="1" applyFont="1" applyFill="1" applyBorder="1" applyAlignment="1">
      <alignment horizontal="center" vertical="center"/>
    </xf>
    <xf numFmtId="0" fontId="17" fillId="5" borderId="8" xfId="6" applyFont="1" applyFill="1" applyBorder="1" applyAlignment="1">
      <alignment horizontal="center" vertical="center"/>
    </xf>
    <xf numFmtId="0" fontId="17" fillId="5" borderId="8" xfId="3" applyFont="1" applyFill="1" applyBorder="1" applyAlignment="1">
      <alignment horizontal="center" vertical="center"/>
    </xf>
    <xf numFmtId="176" fontId="17" fillId="5" borderId="8" xfId="4" applyNumberFormat="1" applyFont="1" applyFill="1" applyBorder="1" applyAlignment="1">
      <alignment horizontal="center" vertical="center"/>
    </xf>
    <xf numFmtId="177" fontId="17" fillId="5" borderId="8" xfId="4" applyNumberFormat="1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horizontal="center" vertical="center" wrapText="1"/>
    </xf>
    <xf numFmtId="3" fontId="17" fillId="3" borderId="8" xfId="3" applyNumberFormat="1" applyFont="1" applyFill="1" applyBorder="1" applyAlignment="1">
      <alignment horizontal="center" vertical="center"/>
    </xf>
    <xf numFmtId="0" fontId="17" fillId="5" borderId="12" xfId="3" applyFont="1" applyFill="1" applyBorder="1" applyAlignment="1">
      <alignment horizontal="center" vertical="center"/>
    </xf>
    <xf numFmtId="176" fontId="17" fillId="5" borderId="12" xfId="4" applyNumberFormat="1" applyFont="1" applyFill="1" applyBorder="1" applyAlignment="1">
      <alignment horizontal="center" vertical="center"/>
    </xf>
    <xf numFmtId="177" fontId="17" fillId="5" borderId="12" xfId="4" applyNumberFormat="1" applyFont="1" applyFill="1" applyBorder="1" applyAlignment="1">
      <alignment horizontal="center" vertical="center"/>
    </xf>
    <xf numFmtId="0" fontId="17" fillId="5" borderId="8" xfId="3" applyFont="1" applyFill="1" applyBorder="1" applyAlignment="1">
      <alignment horizontal="center" vertical="center" wrapText="1"/>
    </xf>
    <xf numFmtId="3" fontId="17" fillId="5" borderId="8" xfId="3" applyNumberFormat="1" applyFont="1" applyFill="1" applyBorder="1" applyAlignment="1">
      <alignment horizontal="center" vertical="center"/>
    </xf>
    <xf numFmtId="0" fontId="17" fillId="0" borderId="12" xfId="6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horizontal="center" vertical="center"/>
    </xf>
    <xf numFmtId="0" fontId="17" fillId="4" borderId="10" xfId="3" applyFont="1" applyFill="1" applyBorder="1" applyAlignment="1">
      <alignment horizontal="center" vertical="center"/>
    </xf>
    <xf numFmtId="176" fontId="17" fillId="4" borderId="10" xfId="3" applyNumberFormat="1" applyFont="1" applyFill="1" applyBorder="1" applyAlignment="1">
      <alignment horizontal="center" vertical="center"/>
    </xf>
    <xf numFmtId="177" fontId="17" fillId="4" borderId="10" xfId="4" applyNumberFormat="1" applyFont="1" applyFill="1" applyBorder="1" applyAlignment="1">
      <alignment horizontal="center" vertical="center"/>
    </xf>
    <xf numFmtId="0" fontId="17" fillId="4" borderId="10" xfId="6" applyFont="1" applyFill="1" applyBorder="1" applyAlignment="1">
      <alignment horizontal="center" vertical="center"/>
    </xf>
    <xf numFmtId="0" fontId="17" fillId="0" borderId="18" xfId="3" applyFont="1" applyFill="1" applyBorder="1" applyAlignment="1">
      <alignment horizontal="center" vertical="center"/>
    </xf>
    <xf numFmtId="176" fontId="17" fillId="6" borderId="8" xfId="4" applyNumberFormat="1" applyFont="1" applyFill="1" applyBorder="1" applyAlignment="1">
      <alignment horizontal="center" vertical="center"/>
    </xf>
    <xf numFmtId="177" fontId="17" fillId="6" borderId="8" xfId="4" applyNumberFormat="1" applyFont="1" applyFill="1" applyBorder="1" applyAlignment="1">
      <alignment horizontal="center" vertical="center"/>
    </xf>
    <xf numFmtId="20" fontId="17" fillId="6" borderId="8" xfId="3" applyNumberFormat="1" applyFont="1" applyFill="1" applyBorder="1" applyAlignment="1">
      <alignment horizontal="center" vertical="center"/>
    </xf>
    <xf numFmtId="176" fontId="17" fillId="6" borderId="8" xfId="3" applyNumberFormat="1" applyFont="1" applyFill="1" applyBorder="1" applyAlignment="1">
      <alignment horizontal="center" vertical="center"/>
    </xf>
    <xf numFmtId="0" fontId="17" fillId="6" borderId="8" xfId="6" applyFont="1" applyFill="1" applyBorder="1" applyAlignment="1">
      <alignment horizontal="center" vertical="center"/>
    </xf>
    <xf numFmtId="41" fontId="17" fillId="6" borderId="9" xfId="4" applyFont="1" applyFill="1" applyBorder="1" applyAlignment="1">
      <alignment horizontal="center" vertical="center" wrapText="1"/>
    </xf>
    <xf numFmtId="20" fontId="17" fillId="3" borderId="12" xfId="3" applyNumberFormat="1" applyFont="1" applyFill="1" applyBorder="1" applyAlignment="1">
      <alignment horizontal="center" vertical="center"/>
    </xf>
    <xf numFmtId="14" fontId="17" fillId="5" borderId="12" xfId="5" applyNumberFormat="1" applyFont="1" applyFill="1" applyBorder="1" applyAlignment="1">
      <alignment horizontal="center" vertical="center"/>
    </xf>
    <xf numFmtId="20" fontId="17" fillId="5" borderId="12" xfId="5" applyNumberFormat="1" applyFont="1" applyFill="1" applyBorder="1" applyAlignment="1">
      <alignment horizontal="center" vertical="center"/>
    </xf>
    <xf numFmtId="3" fontId="17" fillId="5" borderId="12" xfId="4" applyNumberFormat="1" applyFont="1" applyFill="1" applyBorder="1" applyAlignment="1">
      <alignment horizontal="center" vertical="center" wrapText="1"/>
    </xf>
    <xf numFmtId="14" fontId="17" fillId="5" borderId="8" xfId="5" applyNumberFormat="1" applyFont="1" applyFill="1" applyBorder="1" applyAlignment="1">
      <alignment horizontal="center" vertical="center"/>
    </xf>
    <xf numFmtId="20" fontId="17" fillId="5" borderId="8" xfId="5" applyNumberFormat="1" applyFont="1" applyFill="1" applyBorder="1" applyAlignment="1">
      <alignment horizontal="center" vertical="center"/>
    </xf>
    <xf numFmtId="3" fontId="17" fillId="5" borderId="8" xfId="4" applyNumberFormat="1" applyFont="1" applyFill="1" applyBorder="1" applyAlignment="1">
      <alignment horizontal="center" vertical="center" wrapText="1"/>
    </xf>
    <xf numFmtId="20" fontId="17" fillId="5" borderId="8" xfId="3" applyNumberFormat="1" applyFont="1" applyFill="1" applyBorder="1" applyAlignment="1">
      <alignment horizontal="center" vertical="center"/>
    </xf>
    <xf numFmtId="14" fontId="17" fillId="5" borderId="8" xfId="3" applyNumberFormat="1" applyFont="1" applyFill="1" applyBorder="1" applyAlignment="1">
      <alignment horizontal="center" vertical="center"/>
    </xf>
    <xf numFmtId="179" fontId="17" fillId="5" borderId="8" xfId="3" applyNumberFormat="1" applyFont="1" applyFill="1" applyBorder="1" applyAlignment="1">
      <alignment horizontal="center" vertical="center"/>
    </xf>
    <xf numFmtId="20" fontId="17" fillId="5" borderId="8" xfId="6" applyNumberFormat="1" applyFont="1" applyFill="1" applyBorder="1" applyAlignment="1">
      <alignment horizontal="center" vertical="center"/>
    </xf>
    <xf numFmtId="20" fontId="17" fillId="5" borderId="12" xfId="3" applyNumberFormat="1" applyFont="1" applyFill="1" applyBorder="1" applyAlignment="1">
      <alignment horizontal="center" vertical="center"/>
    </xf>
    <xf numFmtId="14" fontId="17" fillId="5" borderId="12" xfId="3" applyNumberFormat="1" applyFont="1" applyFill="1" applyBorder="1" applyAlignment="1">
      <alignment horizontal="center" vertical="center"/>
    </xf>
    <xf numFmtId="14" fontId="17" fillId="4" borderId="10" xfId="3" applyNumberFormat="1" applyFont="1" applyFill="1" applyBorder="1" applyAlignment="1">
      <alignment horizontal="center" vertical="center"/>
    </xf>
    <xf numFmtId="179" fontId="17" fillId="4" borderId="10" xfId="3" applyNumberFormat="1" applyFont="1" applyFill="1" applyBorder="1" applyAlignment="1">
      <alignment horizontal="center" vertical="center"/>
    </xf>
    <xf numFmtId="20" fontId="17" fillId="4" borderId="10" xfId="6" applyNumberFormat="1" applyFont="1" applyFill="1" applyBorder="1" applyAlignment="1">
      <alignment horizontal="center" vertical="center"/>
    </xf>
    <xf numFmtId="3" fontId="17" fillId="4" borderId="10" xfId="4" applyNumberFormat="1" applyFont="1" applyFill="1" applyBorder="1" applyAlignment="1">
      <alignment horizontal="center" vertical="center" wrapText="1"/>
    </xf>
    <xf numFmtId="177" fontId="17" fillId="6" borderId="8" xfId="4" applyNumberFormat="1" applyFont="1" applyFill="1" applyBorder="1" applyAlignment="1">
      <alignment horizontal="center" vertical="center" wrapText="1"/>
    </xf>
    <xf numFmtId="3" fontId="17" fillId="6" borderId="8" xfId="4" applyNumberFormat="1" applyFont="1" applyFill="1" applyBorder="1" applyAlignment="1">
      <alignment horizontal="center" vertical="center" wrapText="1"/>
    </xf>
    <xf numFmtId="177" fontId="17" fillId="3" borderId="12" xfId="4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center" vertical="center"/>
    </xf>
    <xf numFmtId="178" fontId="11" fillId="0" borderId="8" xfId="0" applyNumberFormat="1" applyFont="1" applyFill="1" applyBorder="1" applyAlignment="1">
      <alignment horizontal="center" vertical="center"/>
    </xf>
    <xf numFmtId="0" fontId="10" fillId="4" borderId="6" xfId="3" applyFont="1" applyFill="1" applyBorder="1" applyAlignment="1">
      <alignment horizontal="center" vertical="center"/>
    </xf>
    <xf numFmtId="3" fontId="13" fillId="4" borderId="6" xfId="0" applyNumberFormat="1" applyFont="1" applyFill="1" applyBorder="1" applyAlignment="1">
      <alignment horizontal="center" vertical="center" wrapText="1"/>
    </xf>
    <xf numFmtId="0" fontId="14" fillId="4" borderId="6" xfId="3" applyFont="1" applyFill="1" applyBorder="1" applyAlignment="1">
      <alignment horizontal="center" vertical="center"/>
    </xf>
    <xf numFmtId="3" fontId="13" fillId="4" borderId="6" xfId="0" applyNumberFormat="1" applyFont="1" applyFill="1" applyBorder="1" applyAlignment="1">
      <alignment horizontal="right" vertical="center" wrapText="1"/>
    </xf>
    <xf numFmtId="41" fontId="11" fillId="4" borderId="6" xfId="1" applyFont="1" applyFill="1" applyBorder="1" applyAlignment="1">
      <alignment horizontal="center" vertical="center"/>
    </xf>
    <xf numFmtId="41" fontId="11" fillId="0" borderId="6" xfId="1" applyFont="1" applyFill="1" applyBorder="1" applyAlignment="1">
      <alignment horizontal="center" vertical="center"/>
    </xf>
    <xf numFmtId="41" fontId="12" fillId="0" borderId="6" xfId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41" fontId="12" fillId="4" borderId="6" xfId="1" applyFont="1" applyFill="1" applyBorder="1" applyAlignment="1">
      <alignment horizontal="center" vertical="center"/>
    </xf>
    <xf numFmtId="41" fontId="30" fillId="0" borderId="9" xfId="4" applyFont="1" applyFill="1" applyBorder="1" applyAlignment="1">
      <alignment horizontal="center" vertical="center" wrapText="1"/>
    </xf>
    <xf numFmtId="0" fontId="30" fillId="0" borderId="7" xfId="3" applyFont="1" applyFill="1" applyBorder="1" applyAlignment="1">
      <alignment horizontal="center" vertical="center"/>
    </xf>
    <xf numFmtId="0" fontId="30" fillId="0" borderId="8" xfId="5" applyFont="1" applyFill="1" applyBorder="1" applyAlignment="1">
      <alignment horizontal="center" vertical="center" wrapText="1"/>
    </xf>
    <xf numFmtId="0" fontId="30" fillId="0" borderId="8" xfId="5" applyFont="1" applyFill="1" applyBorder="1" applyAlignment="1">
      <alignment horizontal="center" vertical="center"/>
    </xf>
    <xf numFmtId="176" fontId="30" fillId="0" borderId="8" xfId="4" applyNumberFormat="1" applyFont="1" applyFill="1" applyBorder="1" applyAlignment="1">
      <alignment horizontal="center" vertical="center" wrapText="1"/>
    </xf>
    <xf numFmtId="177" fontId="30" fillId="0" borderId="8" xfId="4" applyNumberFormat="1" applyFont="1" applyFill="1" applyBorder="1" applyAlignment="1">
      <alignment horizontal="center" vertical="center" wrapText="1"/>
    </xf>
    <xf numFmtId="0" fontId="30" fillId="0" borderId="8" xfId="3" applyFont="1" applyFill="1" applyBorder="1" applyAlignment="1">
      <alignment horizontal="center" vertical="center"/>
    </xf>
    <xf numFmtId="20" fontId="30" fillId="0" borderId="8" xfId="5" applyNumberFormat="1" applyFont="1" applyFill="1" applyBorder="1" applyAlignment="1">
      <alignment horizontal="center" vertical="center"/>
    </xf>
    <xf numFmtId="3" fontId="30" fillId="0" borderId="8" xfId="4" applyNumberFormat="1" applyFont="1" applyFill="1" applyBorder="1" applyAlignment="1">
      <alignment horizontal="center" vertical="center" wrapText="1"/>
    </xf>
    <xf numFmtId="41" fontId="30" fillId="0" borderId="8" xfId="4" applyFont="1" applyFill="1" applyBorder="1" applyAlignment="1">
      <alignment horizontal="center" vertical="center" wrapText="1"/>
    </xf>
    <xf numFmtId="176" fontId="30" fillId="0" borderId="8" xfId="3" applyNumberFormat="1" applyFont="1" applyFill="1" applyBorder="1" applyAlignment="1">
      <alignment horizontal="center" vertical="center"/>
    </xf>
    <xf numFmtId="0" fontId="30" fillId="0" borderId="8" xfId="6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</cellXfs>
  <cellStyles count="12">
    <cellStyle name="%" xfId="7"/>
    <cellStyle name="Normal 2" xfId="8"/>
    <cellStyle name="Normale_FY 2012_DEPLOYMENT_DAY BY DAY_160211 MOD 250711" xfId="9"/>
    <cellStyle name="백분율" xfId="2" builtinId="5"/>
    <cellStyle name="쉼표 [0]" xfId="1" builtinId="6"/>
    <cellStyle name="쉼표 [0] 2" xfId="4"/>
    <cellStyle name="쉼표 [0] 2 2" xfId="10"/>
    <cellStyle name="一般_Sheet1" xfId="11"/>
    <cellStyle name="표준" xfId="0" builtinId="0"/>
    <cellStyle name="표준 2" xfId="3"/>
    <cellStyle name="표준 3" xfId="5"/>
    <cellStyle name="표준_부산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9"/>
  <sheetViews>
    <sheetView tabSelected="1" zoomScale="85" zoomScaleNormal="85" workbookViewId="0">
      <pane xSplit="1" ySplit="2" topLeftCell="B177" activePane="bottomRight" state="frozen"/>
      <selection pane="topRight" activeCell="B1" sqref="B1"/>
      <selection pane="bottomLeft" activeCell="A3" sqref="A3"/>
      <selection pane="bottomRight" activeCell="S2" sqref="S2"/>
    </sheetView>
  </sheetViews>
  <sheetFormatPr defaultColWidth="9" defaultRowHeight="13.5"/>
  <cols>
    <col min="1" max="1" width="5" style="230" customWidth="1"/>
    <col min="2" max="2" width="20.875" style="219" bestFit="1" customWidth="1"/>
    <col min="3" max="3" width="19.625" style="219" hidden="1" customWidth="1"/>
    <col min="4" max="4" width="12.875" style="2" hidden="1" customWidth="1"/>
    <col min="5" max="5" width="10.875" style="220" customWidth="1"/>
    <col min="6" max="6" width="12.125" style="221" customWidth="1"/>
    <col min="7" max="7" width="12.25" style="222" customWidth="1"/>
    <col min="8" max="8" width="10.25" style="222" customWidth="1"/>
    <col min="9" max="9" width="16.25" style="219" customWidth="1"/>
    <col min="10" max="10" width="9.75" style="219" customWidth="1"/>
    <col min="11" max="11" width="15.875" style="219" customWidth="1"/>
    <col min="12" max="12" width="10.25" style="219" customWidth="1"/>
    <col min="13" max="13" width="12.125" style="57" customWidth="1"/>
    <col min="14" max="15" width="25.75" style="230" customWidth="1"/>
    <col min="16" max="16" width="12.625" style="2" customWidth="1"/>
    <col min="17" max="17" width="11.125" style="2" customWidth="1"/>
    <col min="18" max="18" width="14.625" style="2" customWidth="1"/>
    <col min="19" max="19" width="18.125" style="230" customWidth="1"/>
    <col min="20" max="20" width="5.625" style="2" customWidth="1"/>
    <col min="21" max="21" width="3.5" style="2" bestFit="1" customWidth="1"/>
    <col min="22" max="22" width="18.75" style="2" bestFit="1" customWidth="1"/>
    <col min="23" max="25" width="9" style="2"/>
    <col min="26" max="26" width="15.875" style="2" customWidth="1"/>
    <col min="27" max="27" width="10.625" style="2" bestFit="1" customWidth="1"/>
    <col min="28" max="16384" width="9" style="2"/>
  </cols>
  <sheetData>
    <row r="1" spans="1:27" ht="33.75" customHeight="1" thickBot="1">
      <c r="A1" s="414" t="s">
        <v>0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1"/>
      <c r="S1" s="1" t="s">
        <v>440</v>
      </c>
    </row>
    <row r="2" spans="1:27" s="12" customFormat="1" ht="24.95" customHeight="1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  <c r="P2" s="9" t="s">
        <v>16</v>
      </c>
      <c r="Q2" s="4" t="s">
        <v>17</v>
      </c>
      <c r="R2" s="10" t="s">
        <v>18</v>
      </c>
      <c r="S2" s="11" t="s">
        <v>19</v>
      </c>
      <c r="U2" s="13"/>
      <c r="V2" s="13" t="s">
        <v>20</v>
      </c>
      <c r="W2" s="13" t="s">
        <v>21</v>
      </c>
      <c r="X2" s="13" t="s">
        <v>22</v>
      </c>
      <c r="Y2" s="13" t="s">
        <v>23</v>
      </c>
      <c r="Z2" s="12" t="s">
        <v>24</v>
      </c>
      <c r="AA2" s="12" t="s">
        <v>25</v>
      </c>
    </row>
    <row r="3" spans="1:27" s="28" customFormat="1" ht="30" customHeight="1">
      <c r="A3" s="325">
        <f t="shared" ref="A3:A66" si="0">ROW()-2</f>
        <v>1</v>
      </c>
      <c r="B3" s="145" t="s">
        <v>26</v>
      </c>
      <c r="C3" s="146" t="s">
        <v>27</v>
      </c>
      <c r="D3" s="146" t="s">
        <v>28</v>
      </c>
      <c r="E3" s="147">
        <v>167800</v>
      </c>
      <c r="F3" s="148">
        <v>348</v>
      </c>
      <c r="G3" s="148">
        <v>62.5</v>
      </c>
      <c r="H3" s="148">
        <v>8.5</v>
      </c>
      <c r="I3" s="149" t="s">
        <v>29</v>
      </c>
      <c r="J3" s="150">
        <v>0.33333333333333331</v>
      </c>
      <c r="K3" s="149" t="s">
        <v>29</v>
      </c>
      <c r="L3" s="150">
        <v>0.75</v>
      </c>
      <c r="M3" s="155">
        <v>4152</v>
      </c>
      <c r="N3" s="146" t="s">
        <v>30</v>
      </c>
      <c r="O3" s="146" t="s">
        <v>31</v>
      </c>
      <c r="P3" s="152" t="s">
        <v>32</v>
      </c>
      <c r="Q3" s="157" t="s">
        <v>33</v>
      </c>
      <c r="R3" s="87" t="s">
        <v>34</v>
      </c>
      <c r="S3" s="235"/>
      <c r="U3" s="393">
        <v>1</v>
      </c>
      <c r="V3" s="97" t="s">
        <v>35</v>
      </c>
      <c r="W3" s="394">
        <v>168700</v>
      </c>
      <c r="X3" s="395">
        <f t="shared" ref="X3:X32" si="1">COUNTIF($B$3:$B$215,V3)</f>
        <v>31</v>
      </c>
      <c r="Y3" s="396">
        <f t="shared" ref="Y3:Y31" si="2">W3*X3</f>
        <v>5229700</v>
      </c>
      <c r="Z3" s="397">
        <v>4655</v>
      </c>
      <c r="AA3" s="401">
        <f>+X3*Z3</f>
        <v>144305</v>
      </c>
    </row>
    <row r="4" spans="1:27" s="28" customFormat="1" ht="30" customHeight="1">
      <c r="A4" s="325">
        <f t="shared" si="0"/>
        <v>2</v>
      </c>
      <c r="B4" s="145" t="s">
        <v>26</v>
      </c>
      <c r="C4" s="146" t="s">
        <v>27</v>
      </c>
      <c r="D4" s="146" t="s">
        <v>28</v>
      </c>
      <c r="E4" s="147">
        <v>167800</v>
      </c>
      <c r="F4" s="148">
        <v>348</v>
      </c>
      <c r="G4" s="148">
        <v>62.5</v>
      </c>
      <c r="H4" s="148">
        <v>8.5</v>
      </c>
      <c r="I4" s="149" t="s">
        <v>36</v>
      </c>
      <c r="J4" s="150">
        <v>0.29166666666666669</v>
      </c>
      <c r="K4" s="149" t="s">
        <v>36</v>
      </c>
      <c r="L4" s="150">
        <v>0.75</v>
      </c>
      <c r="M4" s="155">
        <v>4152</v>
      </c>
      <c r="N4" s="146" t="s">
        <v>37</v>
      </c>
      <c r="O4" s="146" t="s">
        <v>31</v>
      </c>
      <c r="P4" s="152" t="s">
        <v>32</v>
      </c>
      <c r="Q4" s="157" t="s">
        <v>33</v>
      </c>
      <c r="R4" s="87" t="s">
        <v>34</v>
      </c>
      <c r="S4" s="235"/>
      <c r="U4" s="29">
        <v>2</v>
      </c>
      <c r="V4" s="30" t="s">
        <v>38</v>
      </c>
      <c r="W4" s="31">
        <v>115875</v>
      </c>
      <c r="X4" s="29">
        <f t="shared" si="1"/>
        <v>26</v>
      </c>
      <c r="Y4" s="32">
        <f t="shared" si="2"/>
        <v>3012750</v>
      </c>
      <c r="Z4" s="398">
        <v>2836</v>
      </c>
      <c r="AA4" s="398">
        <f t="shared" ref="AA4:AA30" si="3">+X4*Z4</f>
        <v>73736</v>
      </c>
    </row>
    <row r="5" spans="1:27" s="28" customFormat="1" ht="30" customHeight="1">
      <c r="A5" s="325">
        <f t="shared" si="0"/>
        <v>3</v>
      </c>
      <c r="B5" s="87" t="s">
        <v>39</v>
      </c>
      <c r="C5" s="87" t="s">
        <v>40</v>
      </c>
      <c r="D5" s="87" t="s">
        <v>41</v>
      </c>
      <c r="E5" s="153">
        <v>72458</v>
      </c>
      <c r="F5" s="241">
        <v>245</v>
      </c>
      <c r="G5" s="241"/>
      <c r="H5" s="241">
        <v>7.5</v>
      </c>
      <c r="I5" s="134" t="s">
        <v>42</v>
      </c>
      <c r="J5" s="203">
        <v>0.33333333333333331</v>
      </c>
      <c r="K5" s="134" t="s">
        <v>42</v>
      </c>
      <c r="L5" s="135">
        <v>0.83333333333333337</v>
      </c>
      <c r="M5" s="151">
        <v>1778</v>
      </c>
      <c r="N5" s="154" t="s">
        <v>43</v>
      </c>
      <c r="O5" s="146" t="s">
        <v>44</v>
      </c>
      <c r="P5" s="87" t="s">
        <v>32</v>
      </c>
      <c r="Q5" s="157" t="s">
        <v>33</v>
      </c>
      <c r="R5" s="87" t="s">
        <v>45</v>
      </c>
      <c r="S5" s="235" t="s">
        <v>46</v>
      </c>
      <c r="U5" s="29">
        <v>3</v>
      </c>
      <c r="V5" s="30" t="s">
        <v>47</v>
      </c>
      <c r="W5" s="31">
        <v>58825</v>
      </c>
      <c r="X5" s="29">
        <f t="shared" si="1"/>
        <v>23</v>
      </c>
      <c r="Y5" s="32">
        <f t="shared" si="2"/>
        <v>1352975</v>
      </c>
      <c r="Z5" s="398">
        <v>1825</v>
      </c>
      <c r="AA5" s="398">
        <f t="shared" si="3"/>
        <v>41975</v>
      </c>
    </row>
    <row r="6" spans="1:27" s="28" customFormat="1" ht="30" customHeight="1">
      <c r="A6" s="325">
        <f t="shared" si="0"/>
        <v>4</v>
      </c>
      <c r="B6" s="87" t="s">
        <v>48</v>
      </c>
      <c r="C6" s="87" t="s">
        <v>49</v>
      </c>
      <c r="D6" s="87" t="s">
        <v>50</v>
      </c>
      <c r="E6" s="153">
        <v>85619</v>
      </c>
      <c r="F6" s="241">
        <v>290</v>
      </c>
      <c r="G6" s="148">
        <v>55</v>
      </c>
      <c r="H6" s="148">
        <v>8</v>
      </c>
      <c r="I6" s="134" t="s">
        <v>51</v>
      </c>
      <c r="J6" s="203">
        <v>0.41666666666666669</v>
      </c>
      <c r="K6" s="134" t="s">
        <v>51</v>
      </c>
      <c r="L6" s="135">
        <v>0.75</v>
      </c>
      <c r="M6" s="151">
        <v>2114</v>
      </c>
      <c r="N6" s="154" t="s">
        <v>52</v>
      </c>
      <c r="O6" s="146" t="s">
        <v>53</v>
      </c>
      <c r="P6" s="87" t="s">
        <v>54</v>
      </c>
      <c r="Q6" s="157" t="s">
        <v>55</v>
      </c>
      <c r="R6" s="87" t="s">
        <v>56</v>
      </c>
      <c r="S6" s="235" t="s">
        <v>57</v>
      </c>
      <c r="U6" s="393">
        <v>4</v>
      </c>
      <c r="V6" s="97" t="s">
        <v>58</v>
      </c>
      <c r="W6" s="394">
        <v>168700</v>
      </c>
      <c r="X6" s="395">
        <f t="shared" si="1"/>
        <v>20</v>
      </c>
      <c r="Y6" s="396">
        <f t="shared" si="2"/>
        <v>3374000</v>
      </c>
      <c r="Z6" s="397">
        <v>4536</v>
      </c>
      <c r="AA6" s="401">
        <f t="shared" si="3"/>
        <v>90720</v>
      </c>
    </row>
    <row r="7" spans="1:27" s="28" customFormat="1" ht="30" customHeight="1">
      <c r="A7" s="325">
        <f t="shared" si="0"/>
        <v>5</v>
      </c>
      <c r="B7" s="145" t="s">
        <v>26</v>
      </c>
      <c r="C7" s="146" t="s">
        <v>27</v>
      </c>
      <c r="D7" s="146" t="s">
        <v>28</v>
      </c>
      <c r="E7" s="147">
        <v>167800</v>
      </c>
      <c r="F7" s="148">
        <v>348</v>
      </c>
      <c r="G7" s="148">
        <v>62.5</v>
      </c>
      <c r="H7" s="148">
        <v>8.5</v>
      </c>
      <c r="I7" s="149" t="s">
        <v>59</v>
      </c>
      <c r="J7" s="150">
        <v>0.29166666666666669</v>
      </c>
      <c r="K7" s="149" t="s">
        <v>59</v>
      </c>
      <c r="L7" s="150">
        <v>0.75</v>
      </c>
      <c r="M7" s="155">
        <v>4152</v>
      </c>
      <c r="N7" s="146" t="s">
        <v>31</v>
      </c>
      <c r="O7" s="146" t="s">
        <v>37</v>
      </c>
      <c r="P7" s="152" t="s">
        <v>32</v>
      </c>
      <c r="Q7" s="157" t="s">
        <v>33</v>
      </c>
      <c r="R7" s="87" t="s">
        <v>34</v>
      </c>
      <c r="S7" s="235"/>
      <c r="U7" s="29">
        <v>5</v>
      </c>
      <c r="V7" s="30" t="s">
        <v>60</v>
      </c>
      <c r="W7" s="31">
        <v>75166</v>
      </c>
      <c r="X7" s="29">
        <f t="shared" si="1"/>
        <v>18</v>
      </c>
      <c r="Y7" s="32">
        <f t="shared" si="2"/>
        <v>1352988</v>
      </c>
      <c r="Z7" s="398">
        <v>1624</v>
      </c>
      <c r="AA7" s="398">
        <f t="shared" si="3"/>
        <v>29232</v>
      </c>
    </row>
    <row r="8" spans="1:27" s="28" customFormat="1" ht="30" customHeight="1">
      <c r="A8" s="325">
        <f t="shared" si="0"/>
        <v>6</v>
      </c>
      <c r="B8" s="145" t="s">
        <v>48</v>
      </c>
      <c r="C8" s="146" t="s">
        <v>49</v>
      </c>
      <c r="D8" s="146" t="s">
        <v>50</v>
      </c>
      <c r="E8" s="147">
        <v>85619</v>
      </c>
      <c r="F8" s="148">
        <v>290</v>
      </c>
      <c r="G8" s="148">
        <v>55</v>
      </c>
      <c r="H8" s="148">
        <v>8</v>
      </c>
      <c r="I8" s="149" t="s">
        <v>61</v>
      </c>
      <c r="J8" s="150">
        <v>0.41666666666666669</v>
      </c>
      <c r="K8" s="149" t="s">
        <v>61</v>
      </c>
      <c r="L8" s="150">
        <v>0.75</v>
      </c>
      <c r="M8" s="151">
        <v>2114</v>
      </c>
      <c r="N8" s="146" t="s">
        <v>52</v>
      </c>
      <c r="O8" s="146" t="s">
        <v>53</v>
      </c>
      <c r="P8" s="152" t="s">
        <v>54</v>
      </c>
      <c r="Q8" s="157" t="s">
        <v>55</v>
      </c>
      <c r="R8" s="87" t="s">
        <v>56</v>
      </c>
      <c r="S8" s="235" t="s">
        <v>57</v>
      </c>
      <c r="U8" s="29">
        <v>6</v>
      </c>
      <c r="V8" s="30" t="s">
        <v>62</v>
      </c>
      <c r="W8" s="31">
        <v>115875</v>
      </c>
      <c r="X8" s="29">
        <f t="shared" si="1"/>
        <v>16</v>
      </c>
      <c r="Y8" s="32">
        <f t="shared" si="2"/>
        <v>1854000</v>
      </c>
      <c r="Z8" s="398">
        <v>2817</v>
      </c>
      <c r="AA8" s="398">
        <f t="shared" si="3"/>
        <v>45072</v>
      </c>
    </row>
    <row r="9" spans="1:27" s="28" customFormat="1" ht="30" customHeight="1" thickBot="1">
      <c r="A9" s="325">
        <f t="shared" si="0"/>
        <v>7</v>
      </c>
      <c r="B9" s="242" t="s">
        <v>26</v>
      </c>
      <c r="C9" s="243" t="s">
        <v>27</v>
      </c>
      <c r="D9" s="243" t="s">
        <v>28</v>
      </c>
      <c r="E9" s="244">
        <v>167800</v>
      </c>
      <c r="F9" s="245">
        <v>348</v>
      </c>
      <c r="G9" s="245">
        <v>62.5</v>
      </c>
      <c r="H9" s="245">
        <v>8.5</v>
      </c>
      <c r="I9" s="246" t="s">
        <v>63</v>
      </c>
      <c r="J9" s="247">
        <v>0.29166666666666669</v>
      </c>
      <c r="K9" s="246" t="s">
        <v>63</v>
      </c>
      <c r="L9" s="247">
        <v>0.75</v>
      </c>
      <c r="M9" s="248">
        <v>4152</v>
      </c>
      <c r="N9" s="243" t="s">
        <v>31</v>
      </c>
      <c r="O9" s="243" t="s">
        <v>37</v>
      </c>
      <c r="P9" s="251" t="s">
        <v>32</v>
      </c>
      <c r="Q9" s="250" t="s">
        <v>33</v>
      </c>
      <c r="R9" s="252" t="s">
        <v>34</v>
      </c>
      <c r="S9" s="253"/>
      <c r="U9" s="29">
        <v>7</v>
      </c>
      <c r="V9" s="47" t="s">
        <v>39</v>
      </c>
      <c r="W9" s="31">
        <v>70606</v>
      </c>
      <c r="X9" s="29">
        <f t="shared" si="1"/>
        <v>15</v>
      </c>
      <c r="Y9" s="32">
        <f t="shared" si="2"/>
        <v>1059090</v>
      </c>
      <c r="Z9" s="398">
        <v>1596</v>
      </c>
      <c r="AA9" s="398">
        <f t="shared" si="3"/>
        <v>23940</v>
      </c>
    </row>
    <row r="10" spans="1:27" s="28" customFormat="1" ht="30" customHeight="1">
      <c r="A10" s="325">
        <f t="shared" si="0"/>
        <v>8</v>
      </c>
      <c r="B10" s="254" t="s">
        <v>26</v>
      </c>
      <c r="C10" s="255" t="s">
        <v>27</v>
      </c>
      <c r="D10" s="255" t="s">
        <v>28</v>
      </c>
      <c r="E10" s="256">
        <v>167800</v>
      </c>
      <c r="F10" s="257">
        <v>348</v>
      </c>
      <c r="G10" s="139">
        <v>62.5</v>
      </c>
      <c r="H10" s="139">
        <v>8.5</v>
      </c>
      <c r="I10" s="258" t="s">
        <v>64</v>
      </c>
      <c r="J10" s="259">
        <v>0.29166666666666669</v>
      </c>
      <c r="K10" s="258" t="s">
        <v>64</v>
      </c>
      <c r="L10" s="259">
        <v>0.70833333333333337</v>
      </c>
      <c r="M10" s="238">
        <v>4152</v>
      </c>
      <c r="N10" s="137" t="s">
        <v>31</v>
      </c>
      <c r="O10" s="255" t="s">
        <v>65</v>
      </c>
      <c r="P10" s="260" t="s">
        <v>32</v>
      </c>
      <c r="Q10" s="261" t="s">
        <v>33</v>
      </c>
      <c r="R10" s="262" t="s">
        <v>34</v>
      </c>
      <c r="S10" s="263"/>
      <c r="U10" s="393">
        <v>8</v>
      </c>
      <c r="V10" s="400" t="s">
        <v>66</v>
      </c>
      <c r="W10" s="394">
        <v>138279</v>
      </c>
      <c r="X10" s="393">
        <f t="shared" si="1"/>
        <v>11</v>
      </c>
      <c r="Y10" s="396">
        <f t="shared" si="2"/>
        <v>1521069</v>
      </c>
      <c r="Z10" s="397">
        <v>3387</v>
      </c>
      <c r="AA10" s="401">
        <f t="shared" si="3"/>
        <v>37257</v>
      </c>
    </row>
    <row r="11" spans="1:27" s="28" customFormat="1" ht="30" customHeight="1">
      <c r="A11" s="325">
        <f t="shared" si="0"/>
        <v>9</v>
      </c>
      <c r="B11" s="87" t="s">
        <v>39</v>
      </c>
      <c r="C11" s="87" t="s">
        <v>40</v>
      </c>
      <c r="D11" s="87" t="s">
        <v>41</v>
      </c>
      <c r="E11" s="153">
        <v>72458</v>
      </c>
      <c r="F11" s="241">
        <v>245</v>
      </c>
      <c r="G11" s="241"/>
      <c r="H11" s="241">
        <v>7.5</v>
      </c>
      <c r="I11" s="134" t="s">
        <v>67</v>
      </c>
      <c r="J11" s="203">
        <v>0.33333333333333331</v>
      </c>
      <c r="K11" s="134" t="s">
        <v>67</v>
      </c>
      <c r="L11" s="135">
        <v>0.70833333333333337</v>
      </c>
      <c r="M11" s="151">
        <v>1778</v>
      </c>
      <c r="N11" s="154" t="s">
        <v>68</v>
      </c>
      <c r="O11" s="146" t="s">
        <v>53</v>
      </c>
      <c r="P11" s="87" t="s">
        <v>32</v>
      </c>
      <c r="Q11" s="157" t="s">
        <v>33</v>
      </c>
      <c r="R11" s="87" t="s">
        <v>56</v>
      </c>
      <c r="S11" s="235"/>
      <c r="U11" s="29">
        <v>9</v>
      </c>
      <c r="V11" s="30" t="s">
        <v>69</v>
      </c>
      <c r="W11" s="31">
        <v>108865</v>
      </c>
      <c r="X11" s="29">
        <f t="shared" si="1"/>
        <v>9</v>
      </c>
      <c r="Y11" s="32">
        <f t="shared" si="2"/>
        <v>979785</v>
      </c>
      <c r="Z11" s="398">
        <v>2629</v>
      </c>
      <c r="AA11" s="398">
        <f t="shared" si="3"/>
        <v>23661</v>
      </c>
    </row>
    <row r="12" spans="1:27" s="28" customFormat="1" ht="30" customHeight="1">
      <c r="A12" s="325">
        <f t="shared" si="0"/>
        <v>10</v>
      </c>
      <c r="B12" s="145" t="s">
        <v>26</v>
      </c>
      <c r="C12" s="146" t="s">
        <v>27</v>
      </c>
      <c r="D12" s="146" t="s">
        <v>28</v>
      </c>
      <c r="E12" s="147">
        <v>167800</v>
      </c>
      <c r="F12" s="148">
        <v>348</v>
      </c>
      <c r="G12" s="148">
        <v>62.5</v>
      </c>
      <c r="H12" s="148">
        <v>8.5</v>
      </c>
      <c r="I12" s="149" t="s">
        <v>70</v>
      </c>
      <c r="J12" s="150">
        <v>0.29166666666666669</v>
      </c>
      <c r="K12" s="149" t="s">
        <v>70</v>
      </c>
      <c r="L12" s="150">
        <v>0.75</v>
      </c>
      <c r="M12" s="155">
        <v>4152</v>
      </c>
      <c r="N12" s="146" t="s">
        <v>53</v>
      </c>
      <c r="O12" s="146" t="s">
        <v>31</v>
      </c>
      <c r="P12" s="152" t="s">
        <v>32</v>
      </c>
      <c r="Q12" s="157" t="s">
        <v>33</v>
      </c>
      <c r="R12" s="87" t="s">
        <v>34</v>
      </c>
      <c r="S12" s="235"/>
      <c r="U12" s="29">
        <v>10</v>
      </c>
      <c r="V12" s="30" t="s">
        <v>71</v>
      </c>
      <c r="W12" s="31">
        <v>69472</v>
      </c>
      <c r="X12" s="29">
        <f t="shared" si="1"/>
        <v>6</v>
      </c>
      <c r="Y12" s="32">
        <f t="shared" si="2"/>
        <v>416832</v>
      </c>
      <c r="Z12" s="398">
        <v>2008</v>
      </c>
      <c r="AA12" s="398">
        <f t="shared" si="3"/>
        <v>12048</v>
      </c>
    </row>
    <row r="13" spans="1:27" s="28" customFormat="1" ht="30" customHeight="1">
      <c r="A13" s="325">
        <f t="shared" si="0"/>
        <v>11</v>
      </c>
      <c r="B13" s="145" t="s">
        <v>26</v>
      </c>
      <c r="C13" s="146" t="s">
        <v>27</v>
      </c>
      <c r="D13" s="146" t="s">
        <v>28</v>
      </c>
      <c r="E13" s="147">
        <v>167800</v>
      </c>
      <c r="F13" s="148">
        <v>348</v>
      </c>
      <c r="G13" s="148">
        <v>62.5</v>
      </c>
      <c r="H13" s="148">
        <v>8.5</v>
      </c>
      <c r="I13" s="149" t="s">
        <v>72</v>
      </c>
      <c r="J13" s="150">
        <v>0.29166666666666669</v>
      </c>
      <c r="K13" s="149" t="s">
        <v>72</v>
      </c>
      <c r="L13" s="150">
        <v>0.75</v>
      </c>
      <c r="M13" s="155">
        <v>4152</v>
      </c>
      <c r="N13" s="146" t="s">
        <v>65</v>
      </c>
      <c r="O13" s="146" t="s">
        <v>31</v>
      </c>
      <c r="P13" s="152" t="s">
        <v>32</v>
      </c>
      <c r="Q13" s="157" t="s">
        <v>33</v>
      </c>
      <c r="R13" s="87" t="s">
        <v>34</v>
      </c>
      <c r="S13" s="235"/>
      <c r="U13" s="29">
        <v>11</v>
      </c>
      <c r="V13" s="30" t="s">
        <v>73</v>
      </c>
      <c r="W13" s="31">
        <v>85619</v>
      </c>
      <c r="X13" s="29">
        <f t="shared" si="1"/>
        <v>6</v>
      </c>
      <c r="Y13" s="32">
        <f t="shared" si="2"/>
        <v>513714</v>
      </c>
      <c r="Z13" s="398">
        <v>2249</v>
      </c>
      <c r="AA13" s="398">
        <f t="shared" si="3"/>
        <v>13494</v>
      </c>
    </row>
    <row r="14" spans="1:27" s="28" customFormat="1" ht="30" customHeight="1" thickBot="1">
      <c r="A14" s="325">
        <f t="shared" si="0"/>
        <v>12</v>
      </c>
      <c r="B14" s="242" t="s">
        <v>26</v>
      </c>
      <c r="C14" s="243" t="s">
        <v>27</v>
      </c>
      <c r="D14" s="243" t="s">
        <v>28</v>
      </c>
      <c r="E14" s="244">
        <v>167800</v>
      </c>
      <c r="F14" s="245">
        <v>348</v>
      </c>
      <c r="G14" s="245">
        <v>62.5</v>
      </c>
      <c r="H14" s="245">
        <v>8.5</v>
      </c>
      <c r="I14" s="246" t="s">
        <v>74</v>
      </c>
      <c r="J14" s="247">
        <v>0.29166666666666669</v>
      </c>
      <c r="K14" s="246" t="s">
        <v>74</v>
      </c>
      <c r="L14" s="247">
        <v>0.75</v>
      </c>
      <c r="M14" s="248">
        <v>4152</v>
      </c>
      <c r="N14" s="243" t="s">
        <v>31</v>
      </c>
      <c r="O14" s="243" t="s">
        <v>37</v>
      </c>
      <c r="P14" s="251" t="s">
        <v>32</v>
      </c>
      <c r="Q14" s="250" t="s">
        <v>33</v>
      </c>
      <c r="R14" s="252" t="s">
        <v>34</v>
      </c>
      <c r="S14" s="253"/>
      <c r="U14" s="393">
        <v>12</v>
      </c>
      <c r="V14" s="97" t="s">
        <v>75</v>
      </c>
      <c r="W14" s="394">
        <v>102587</v>
      </c>
      <c r="X14" s="393">
        <f t="shared" si="1"/>
        <v>5</v>
      </c>
      <c r="Y14" s="396">
        <f t="shared" si="2"/>
        <v>512935</v>
      </c>
      <c r="Z14" s="397">
        <v>3189</v>
      </c>
      <c r="AA14" s="401">
        <f t="shared" si="3"/>
        <v>15945</v>
      </c>
    </row>
    <row r="15" spans="1:27" s="28" customFormat="1" ht="30" customHeight="1">
      <c r="A15" s="325">
        <f t="shared" si="0"/>
        <v>13</v>
      </c>
      <c r="B15" s="136" t="s">
        <v>26</v>
      </c>
      <c r="C15" s="137" t="s">
        <v>27</v>
      </c>
      <c r="D15" s="137" t="s">
        <v>28</v>
      </c>
      <c r="E15" s="138">
        <v>167800</v>
      </c>
      <c r="F15" s="139">
        <v>348</v>
      </c>
      <c r="G15" s="139">
        <v>62.5</v>
      </c>
      <c r="H15" s="139">
        <v>8.5</v>
      </c>
      <c r="I15" s="140" t="s">
        <v>76</v>
      </c>
      <c r="J15" s="141">
        <v>0.29166666666666669</v>
      </c>
      <c r="K15" s="140">
        <v>42437</v>
      </c>
      <c r="L15" s="141">
        <v>0.75</v>
      </c>
      <c r="M15" s="238">
        <v>4152</v>
      </c>
      <c r="N15" s="137" t="s">
        <v>31</v>
      </c>
      <c r="O15" s="137" t="s">
        <v>53</v>
      </c>
      <c r="P15" s="142" t="s">
        <v>32</v>
      </c>
      <c r="Q15" s="261" t="s">
        <v>33</v>
      </c>
      <c r="R15" s="262" t="s">
        <v>34</v>
      </c>
      <c r="S15" s="235"/>
      <c r="U15" s="29">
        <v>13</v>
      </c>
      <c r="V15" s="30" t="s">
        <v>77</v>
      </c>
      <c r="W15" s="31">
        <v>24417</v>
      </c>
      <c r="X15" s="29">
        <f t="shared" si="1"/>
        <v>3</v>
      </c>
      <c r="Y15" s="32">
        <f t="shared" si="2"/>
        <v>73251</v>
      </c>
      <c r="Z15" s="398">
        <v>637</v>
      </c>
      <c r="AA15" s="398">
        <f t="shared" si="3"/>
        <v>1911</v>
      </c>
    </row>
    <row r="16" spans="1:27" s="57" customFormat="1" ht="30" customHeight="1">
      <c r="A16" s="325">
        <f t="shared" si="0"/>
        <v>14</v>
      </c>
      <c r="B16" s="264" t="s">
        <v>78</v>
      </c>
      <c r="C16" s="264" t="s">
        <v>79</v>
      </c>
      <c r="D16" s="264" t="s">
        <v>80</v>
      </c>
      <c r="E16" s="265">
        <v>90400</v>
      </c>
      <c r="F16" s="266">
        <v>294</v>
      </c>
      <c r="G16" s="266">
        <v>55</v>
      </c>
      <c r="H16" s="266">
        <v>8</v>
      </c>
      <c r="I16" s="124" t="s">
        <v>81</v>
      </c>
      <c r="J16" s="125">
        <v>0.33333333333333331</v>
      </c>
      <c r="K16" s="84">
        <v>42444</v>
      </c>
      <c r="L16" s="125">
        <v>0.83333333333333337</v>
      </c>
      <c r="M16" s="155">
        <v>2000</v>
      </c>
      <c r="N16" s="87" t="s">
        <v>44</v>
      </c>
      <c r="O16" s="87" t="s">
        <v>82</v>
      </c>
      <c r="P16" s="124" t="s">
        <v>83</v>
      </c>
      <c r="Q16" s="157" t="s">
        <v>84</v>
      </c>
      <c r="R16" s="87" t="s">
        <v>56</v>
      </c>
      <c r="S16" s="267"/>
      <c r="U16" s="29">
        <v>14</v>
      </c>
      <c r="V16" s="29" t="s">
        <v>85</v>
      </c>
      <c r="W16" s="31">
        <v>10700</v>
      </c>
      <c r="X16" s="29">
        <f t="shared" si="1"/>
        <v>4</v>
      </c>
      <c r="Y16" s="32">
        <f t="shared" si="2"/>
        <v>42800</v>
      </c>
      <c r="Z16" s="399">
        <v>226</v>
      </c>
      <c r="AA16" s="398">
        <f t="shared" si="3"/>
        <v>904</v>
      </c>
    </row>
    <row r="17" spans="1:27" s="28" customFormat="1" ht="30" customHeight="1">
      <c r="A17" s="325">
        <f t="shared" si="0"/>
        <v>15</v>
      </c>
      <c r="B17" s="264" t="s">
        <v>86</v>
      </c>
      <c r="C17" s="264" t="s">
        <v>87</v>
      </c>
      <c r="D17" s="264" t="s">
        <v>88</v>
      </c>
      <c r="E17" s="265">
        <v>44656</v>
      </c>
      <c r="F17" s="266">
        <v>231</v>
      </c>
      <c r="G17" s="266">
        <v>45.5</v>
      </c>
      <c r="H17" s="266">
        <v>8</v>
      </c>
      <c r="I17" s="124" t="s">
        <v>89</v>
      </c>
      <c r="J17" s="125">
        <v>0.29166666666666669</v>
      </c>
      <c r="K17" s="84">
        <v>42449</v>
      </c>
      <c r="L17" s="125">
        <v>0.75</v>
      </c>
      <c r="M17" s="155">
        <v>1200</v>
      </c>
      <c r="N17" s="87" t="s">
        <v>90</v>
      </c>
      <c r="O17" s="87" t="s">
        <v>82</v>
      </c>
      <c r="P17" s="124" t="s">
        <v>91</v>
      </c>
      <c r="Q17" s="157" t="s">
        <v>92</v>
      </c>
      <c r="R17" s="87" t="s">
        <v>45</v>
      </c>
      <c r="S17" s="235"/>
      <c r="U17" s="29">
        <v>15</v>
      </c>
      <c r="V17" s="58" t="s">
        <v>93</v>
      </c>
      <c r="W17" s="31">
        <v>50142</v>
      </c>
      <c r="X17" s="29">
        <f t="shared" si="1"/>
        <v>3</v>
      </c>
      <c r="Y17" s="32">
        <f t="shared" si="2"/>
        <v>150426</v>
      </c>
      <c r="Z17" s="398">
        <v>613</v>
      </c>
      <c r="AA17" s="398">
        <f t="shared" si="3"/>
        <v>1839</v>
      </c>
    </row>
    <row r="18" spans="1:27" s="28" customFormat="1" ht="30" customHeight="1">
      <c r="A18" s="325">
        <f t="shared" si="0"/>
        <v>16</v>
      </c>
      <c r="B18" s="124" t="s">
        <v>26</v>
      </c>
      <c r="C18" s="124" t="s">
        <v>27</v>
      </c>
      <c r="D18" s="124" t="s">
        <v>28</v>
      </c>
      <c r="E18" s="157">
        <v>167800</v>
      </c>
      <c r="F18" s="268">
        <v>348</v>
      </c>
      <c r="G18" s="268">
        <v>62.5</v>
      </c>
      <c r="H18" s="268">
        <v>8.5</v>
      </c>
      <c r="I18" s="124" t="s">
        <v>94</v>
      </c>
      <c r="J18" s="125">
        <v>0.29166666666666669</v>
      </c>
      <c r="K18" s="84">
        <v>42451</v>
      </c>
      <c r="L18" s="125">
        <v>0.75</v>
      </c>
      <c r="M18" s="155">
        <v>4152</v>
      </c>
      <c r="N18" s="269" t="s">
        <v>31</v>
      </c>
      <c r="O18" s="124" t="s">
        <v>53</v>
      </c>
      <c r="P18" s="124" t="s">
        <v>32</v>
      </c>
      <c r="Q18" s="157" t="s">
        <v>33</v>
      </c>
      <c r="R18" s="87" t="s">
        <v>34</v>
      </c>
      <c r="S18" s="235"/>
      <c r="U18" s="393">
        <v>16</v>
      </c>
      <c r="V18" s="97" t="s">
        <v>95</v>
      </c>
      <c r="W18" s="394">
        <v>114147</v>
      </c>
      <c r="X18" s="393">
        <f t="shared" si="1"/>
        <v>2</v>
      </c>
      <c r="Y18" s="396">
        <f t="shared" si="2"/>
        <v>228294</v>
      </c>
      <c r="Z18" s="397">
        <v>3698</v>
      </c>
      <c r="AA18" s="401">
        <f t="shared" si="3"/>
        <v>7396</v>
      </c>
    </row>
    <row r="19" spans="1:27" s="28" customFormat="1" ht="30" customHeight="1">
      <c r="A19" s="325">
        <f t="shared" si="0"/>
        <v>17</v>
      </c>
      <c r="B19" s="124" t="s">
        <v>96</v>
      </c>
      <c r="C19" s="124" t="s">
        <v>97</v>
      </c>
      <c r="D19" s="124" t="s">
        <v>80</v>
      </c>
      <c r="E19" s="236">
        <v>77441</v>
      </c>
      <c r="F19" s="237">
        <v>261.31</v>
      </c>
      <c r="G19" s="237">
        <v>49</v>
      </c>
      <c r="H19" s="237">
        <v>8.11</v>
      </c>
      <c r="I19" s="124" t="s">
        <v>98</v>
      </c>
      <c r="J19" s="125">
        <v>0.33333333333333331</v>
      </c>
      <c r="K19" s="84">
        <v>42452</v>
      </c>
      <c r="L19" s="125">
        <v>0.70833333333333337</v>
      </c>
      <c r="M19" s="155">
        <v>2022</v>
      </c>
      <c r="N19" s="158" t="s">
        <v>44</v>
      </c>
      <c r="O19" s="158" t="s">
        <v>99</v>
      </c>
      <c r="P19" s="124" t="s">
        <v>83</v>
      </c>
      <c r="Q19" s="157" t="s">
        <v>84</v>
      </c>
      <c r="R19" s="87" t="s">
        <v>56</v>
      </c>
      <c r="S19" s="235"/>
      <c r="U19" s="29">
        <v>17</v>
      </c>
      <c r="V19" s="29" t="s">
        <v>100</v>
      </c>
      <c r="W19" s="31">
        <v>90238</v>
      </c>
      <c r="X19" s="29">
        <f t="shared" si="1"/>
        <v>2</v>
      </c>
      <c r="Y19" s="32">
        <f t="shared" si="2"/>
        <v>180476</v>
      </c>
      <c r="Z19" s="398">
        <v>2000</v>
      </c>
      <c r="AA19" s="398">
        <f t="shared" si="3"/>
        <v>4000</v>
      </c>
    </row>
    <row r="20" spans="1:27" s="28" customFormat="1" ht="30" customHeight="1">
      <c r="A20" s="325">
        <f t="shared" si="0"/>
        <v>18</v>
      </c>
      <c r="B20" s="270" t="s">
        <v>101</v>
      </c>
      <c r="C20" s="270" t="s">
        <v>102</v>
      </c>
      <c r="D20" s="270" t="s">
        <v>88</v>
      </c>
      <c r="E20" s="271">
        <v>83781</v>
      </c>
      <c r="F20" s="272">
        <v>285.10000000000002</v>
      </c>
      <c r="G20" s="272">
        <v>55</v>
      </c>
      <c r="H20" s="272">
        <v>8.1</v>
      </c>
      <c r="I20" s="270" t="s">
        <v>103</v>
      </c>
      <c r="J20" s="273">
        <v>0.375</v>
      </c>
      <c r="K20" s="274">
        <v>42454</v>
      </c>
      <c r="L20" s="273">
        <v>0.79166666666666663</v>
      </c>
      <c r="M20" s="275">
        <v>2000</v>
      </c>
      <c r="N20" s="270" t="s">
        <v>68</v>
      </c>
      <c r="O20" s="270" t="s">
        <v>37</v>
      </c>
      <c r="P20" s="270" t="s">
        <v>83</v>
      </c>
      <c r="Q20" s="157" t="s">
        <v>84</v>
      </c>
      <c r="R20" s="87" t="s">
        <v>56</v>
      </c>
      <c r="S20" s="235"/>
      <c r="U20" s="29">
        <v>18</v>
      </c>
      <c r="V20" s="30" t="s">
        <v>104</v>
      </c>
      <c r="W20" s="72">
        <v>35260</v>
      </c>
      <c r="X20" s="29">
        <f t="shared" si="1"/>
        <v>2</v>
      </c>
      <c r="Y20" s="32">
        <f t="shared" si="2"/>
        <v>70520</v>
      </c>
      <c r="Z20" s="398">
        <v>631</v>
      </c>
      <c r="AA20" s="398">
        <f t="shared" si="3"/>
        <v>1262</v>
      </c>
    </row>
    <row r="21" spans="1:27" s="28" customFormat="1" ht="30" customHeight="1">
      <c r="A21" s="325">
        <f t="shared" si="0"/>
        <v>19</v>
      </c>
      <c r="B21" s="270" t="s">
        <v>105</v>
      </c>
      <c r="C21" s="270" t="s">
        <v>106</v>
      </c>
      <c r="D21" s="270" t="s">
        <v>107</v>
      </c>
      <c r="E21" s="271">
        <v>32346</v>
      </c>
      <c r="F21" s="272">
        <v>198.15</v>
      </c>
      <c r="G21" s="272"/>
      <c r="H21" s="272">
        <v>6.4</v>
      </c>
      <c r="I21" s="274" t="s">
        <v>108</v>
      </c>
      <c r="J21" s="273">
        <v>0.33333333333333331</v>
      </c>
      <c r="K21" s="274">
        <v>42454</v>
      </c>
      <c r="L21" s="273">
        <v>0.70833333333333337</v>
      </c>
      <c r="M21" s="275">
        <v>462</v>
      </c>
      <c r="N21" s="270" t="s">
        <v>110</v>
      </c>
      <c r="O21" s="270" t="s">
        <v>44</v>
      </c>
      <c r="P21" s="270" t="s">
        <v>111</v>
      </c>
      <c r="Q21" s="157" t="s">
        <v>55</v>
      </c>
      <c r="R21" s="87" t="s">
        <v>45</v>
      </c>
      <c r="S21" s="235"/>
      <c r="U21" s="29">
        <v>19</v>
      </c>
      <c r="V21" s="30" t="s">
        <v>112</v>
      </c>
      <c r="W21" s="31">
        <v>26561</v>
      </c>
      <c r="X21" s="29">
        <f t="shared" si="1"/>
        <v>2</v>
      </c>
      <c r="Y21" s="32">
        <f t="shared" si="2"/>
        <v>53122</v>
      </c>
      <c r="Z21" s="398">
        <v>402</v>
      </c>
      <c r="AA21" s="398">
        <f t="shared" si="3"/>
        <v>804</v>
      </c>
    </row>
    <row r="22" spans="1:27" s="28" customFormat="1" ht="30" customHeight="1" thickBot="1">
      <c r="A22" s="325">
        <f t="shared" si="0"/>
        <v>20</v>
      </c>
      <c r="B22" s="242" t="s">
        <v>26</v>
      </c>
      <c r="C22" s="243" t="s">
        <v>27</v>
      </c>
      <c r="D22" s="243" t="s">
        <v>28</v>
      </c>
      <c r="E22" s="244">
        <v>167800</v>
      </c>
      <c r="F22" s="245">
        <v>348</v>
      </c>
      <c r="G22" s="245">
        <v>62.5</v>
      </c>
      <c r="H22" s="245">
        <v>8.5</v>
      </c>
      <c r="I22" s="246" t="s">
        <v>113</v>
      </c>
      <c r="J22" s="247">
        <v>0.29166666666666669</v>
      </c>
      <c r="K22" s="246">
        <v>42460</v>
      </c>
      <c r="L22" s="247">
        <v>0.75</v>
      </c>
      <c r="M22" s="248">
        <v>4152</v>
      </c>
      <c r="N22" s="243" t="s">
        <v>31</v>
      </c>
      <c r="O22" s="277" t="s">
        <v>37</v>
      </c>
      <c r="P22" s="251" t="s">
        <v>32</v>
      </c>
      <c r="Q22" s="250" t="s">
        <v>33</v>
      </c>
      <c r="R22" s="252" t="s">
        <v>34</v>
      </c>
      <c r="S22" s="253"/>
      <c r="U22" s="29">
        <v>20</v>
      </c>
      <c r="V22" s="30" t="s">
        <v>114</v>
      </c>
      <c r="W22" s="31">
        <v>77499</v>
      </c>
      <c r="X22" s="29">
        <f t="shared" si="1"/>
        <v>1</v>
      </c>
      <c r="Y22" s="32">
        <f t="shared" si="2"/>
        <v>77499</v>
      </c>
      <c r="Z22" s="398">
        <v>1928</v>
      </c>
      <c r="AA22" s="398">
        <f t="shared" si="3"/>
        <v>1928</v>
      </c>
    </row>
    <row r="23" spans="1:27" s="28" customFormat="1" ht="30" customHeight="1">
      <c r="A23" s="325">
        <f t="shared" si="0"/>
        <v>21</v>
      </c>
      <c r="B23" s="127" t="s">
        <v>115</v>
      </c>
      <c r="C23" s="127" t="s">
        <v>97</v>
      </c>
      <c r="D23" s="127" t="s">
        <v>116</v>
      </c>
      <c r="E23" s="278">
        <v>115875</v>
      </c>
      <c r="F23" s="279">
        <v>290</v>
      </c>
      <c r="G23" s="279">
        <v>54</v>
      </c>
      <c r="H23" s="279">
        <v>8.5</v>
      </c>
      <c r="I23" s="127" t="s">
        <v>117</v>
      </c>
      <c r="J23" s="128">
        <v>0.29166666666666669</v>
      </c>
      <c r="K23" s="129">
        <v>42466</v>
      </c>
      <c r="L23" s="128">
        <v>0.58333333333333337</v>
      </c>
      <c r="M23" s="238">
        <v>2600</v>
      </c>
      <c r="N23" s="262" t="s">
        <v>37</v>
      </c>
      <c r="O23" s="262" t="s">
        <v>52</v>
      </c>
      <c r="P23" s="127" t="s">
        <v>83</v>
      </c>
      <c r="Q23" s="261" t="s">
        <v>84</v>
      </c>
      <c r="R23" s="262" t="s">
        <v>56</v>
      </c>
      <c r="S23" s="263"/>
      <c r="U23" s="29">
        <v>21</v>
      </c>
      <c r="V23" s="30" t="s">
        <v>118</v>
      </c>
      <c r="W23" s="31">
        <v>90049</v>
      </c>
      <c r="X23" s="29">
        <f t="shared" si="1"/>
        <v>1</v>
      </c>
      <c r="Y23" s="32">
        <f t="shared" si="2"/>
        <v>90049</v>
      </c>
      <c r="Z23" s="398">
        <v>1833</v>
      </c>
      <c r="AA23" s="398">
        <f t="shared" si="3"/>
        <v>1833</v>
      </c>
    </row>
    <row r="24" spans="1:27" s="28" customFormat="1" ht="30" customHeight="1">
      <c r="A24" s="325">
        <f t="shared" si="0"/>
        <v>22</v>
      </c>
      <c r="B24" s="280" t="s">
        <v>119</v>
      </c>
      <c r="C24" s="281" t="s">
        <v>120</v>
      </c>
      <c r="D24" s="281"/>
      <c r="E24" s="282">
        <v>51044</v>
      </c>
      <c r="F24" s="283">
        <v>238</v>
      </c>
      <c r="G24" s="283"/>
      <c r="H24" s="283"/>
      <c r="I24" s="284" t="s">
        <v>121</v>
      </c>
      <c r="J24" s="285">
        <v>0.33333333333333331</v>
      </c>
      <c r="K24" s="284">
        <v>42469</v>
      </c>
      <c r="L24" s="285">
        <v>0.79166666666666663</v>
      </c>
      <c r="M24" s="275">
        <v>950</v>
      </c>
      <c r="N24" s="281" t="s">
        <v>68</v>
      </c>
      <c r="O24" s="281" t="s">
        <v>53</v>
      </c>
      <c r="P24" s="276" t="s">
        <v>122</v>
      </c>
      <c r="Q24" s="157" t="s">
        <v>123</v>
      </c>
      <c r="R24" s="87" t="s">
        <v>45</v>
      </c>
      <c r="S24" s="235"/>
      <c r="T24" s="80"/>
      <c r="U24" s="29">
        <v>22</v>
      </c>
      <c r="V24" s="30" t="s">
        <v>124</v>
      </c>
      <c r="W24" s="31">
        <v>83780</v>
      </c>
      <c r="X24" s="29">
        <f t="shared" si="1"/>
        <v>1</v>
      </c>
      <c r="Y24" s="32">
        <f t="shared" si="2"/>
        <v>83780</v>
      </c>
      <c r="Z24" s="398">
        <v>1967</v>
      </c>
      <c r="AA24" s="398">
        <f t="shared" si="3"/>
        <v>1967</v>
      </c>
    </row>
    <row r="25" spans="1:27" s="28" customFormat="1" ht="30" customHeight="1">
      <c r="A25" s="325">
        <f t="shared" si="0"/>
        <v>23</v>
      </c>
      <c r="B25" s="280" t="s">
        <v>26</v>
      </c>
      <c r="C25" s="281" t="s">
        <v>27</v>
      </c>
      <c r="D25" s="281" t="s">
        <v>28</v>
      </c>
      <c r="E25" s="282">
        <v>167800</v>
      </c>
      <c r="F25" s="283">
        <v>348</v>
      </c>
      <c r="G25" s="283">
        <v>62.5</v>
      </c>
      <c r="H25" s="283">
        <v>8.5</v>
      </c>
      <c r="I25" s="284" t="s">
        <v>121</v>
      </c>
      <c r="J25" s="285">
        <v>0.29166666666666669</v>
      </c>
      <c r="K25" s="284">
        <v>42469</v>
      </c>
      <c r="L25" s="285">
        <v>0.83333333333333337</v>
      </c>
      <c r="M25" s="275">
        <v>4152</v>
      </c>
      <c r="N25" s="281" t="s">
        <v>31</v>
      </c>
      <c r="O25" s="286" t="s">
        <v>31</v>
      </c>
      <c r="P25" s="276" t="s">
        <v>32</v>
      </c>
      <c r="Q25" s="157" t="s">
        <v>33</v>
      </c>
      <c r="R25" s="87" t="s">
        <v>34</v>
      </c>
      <c r="S25" s="235"/>
      <c r="T25" s="80"/>
      <c r="U25" s="29">
        <v>23</v>
      </c>
      <c r="V25" s="82" t="s">
        <v>119</v>
      </c>
      <c r="W25" s="31">
        <v>68880</v>
      </c>
      <c r="X25" s="29">
        <f t="shared" si="1"/>
        <v>1</v>
      </c>
      <c r="Y25" s="32">
        <f t="shared" si="2"/>
        <v>68880</v>
      </c>
      <c r="Z25" s="398">
        <v>962</v>
      </c>
      <c r="AA25" s="398">
        <f t="shared" si="3"/>
        <v>962</v>
      </c>
    </row>
    <row r="26" spans="1:27" s="28" customFormat="1" ht="30" customHeight="1">
      <c r="A26" s="325">
        <f t="shared" si="0"/>
        <v>24</v>
      </c>
      <c r="B26" s="124" t="s">
        <v>115</v>
      </c>
      <c r="C26" s="124" t="s">
        <v>97</v>
      </c>
      <c r="D26" s="124" t="s">
        <v>116</v>
      </c>
      <c r="E26" s="236">
        <v>115875</v>
      </c>
      <c r="F26" s="237">
        <v>290</v>
      </c>
      <c r="G26" s="237">
        <v>54</v>
      </c>
      <c r="H26" s="237">
        <v>8.5</v>
      </c>
      <c r="I26" s="124" t="s">
        <v>125</v>
      </c>
      <c r="J26" s="125">
        <v>0.5</v>
      </c>
      <c r="K26" s="84">
        <v>42470</v>
      </c>
      <c r="L26" s="125">
        <v>0.79166666666666663</v>
      </c>
      <c r="M26" s="155">
        <v>2600</v>
      </c>
      <c r="N26" s="124" t="s">
        <v>52</v>
      </c>
      <c r="O26" s="124" t="s">
        <v>37</v>
      </c>
      <c r="P26" s="124" t="s">
        <v>83</v>
      </c>
      <c r="Q26" s="157" t="s">
        <v>84</v>
      </c>
      <c r="R26" s="87" t="s">
        <v>56</v>
      </c>
      <c r="S26" s="235"/>
      <c r="U26" s="29">
        <v>24</v>
      </c>
      <c r="V26" s="83" t="s">
        <v>86</v>
      </c>
      <c r="W26" s="31">
        <v>44500</v>
      </c>
      <c r="X26" s="29">
        <f t="shared" si="1"/>
        <v>1</v>
      </c>
      <c r="Y26" s="32">
        <f t="shared" si="2"/>
        <v>44500</v>
      </c>
      <c r="Z26" s="398">
        <v>984</v>
      </c>
      <c r="AA26" s="398">
        <f t="shared" si="3"/>
        <v>984</v>
      </c>
    </row>
    <row r="27" spans="1:27" s="28" customFormat="1" ht="30" customHeight="1">
      <c r="A27" s="325">
        <f t="shared" si="0"/>
        <v>25</v>
      </c>
      <c r="B27" s="124" t="s">
        <v>429</v>
      </c>
      <c r="C27" s="124" t="s">
        <v>126</v>
      </c>
      <c r="D27" s="124" t="s">
        <v>127</v>
      </c>
      <c r="E27" s="157">
        <v>50142</v>
      </c>
      <c r="F27" s="237">
        <v>241</v>
      </c>
      <c r="G27" s="237">
        <v>45</v>
      </c>
      <c r="H27" s="237">
        <v>7.8</v>
      </c>
      <c r="I27" s="84" t="s">
        <v>128</v>
      </c>
      <c r="J27" s="85">
        <v>0.375</v>
      </c>
      <c r="K27" s="84">
        <v>42471</v>
      </c>
      <c r="L27" s="86">
        <v>0.70833333333333337</v>
      </c>
      <c r="M27" s="155">
        <v>1100</v>
      </c>
      <c r="N27" s="158" t="s">
        <v>129</v>
      </c>
      <c r="O27" s="158" t="s">
        <v>130</v>
      </c>
      <c r="P27" s="124" t="s">
        <v>126</v>
      </c>
      <c r="Q27" s="157" t="s">
        <v>131</v>
      </c>
      <c r="R27" s="87" t="s">
        <v>45</v>
      </c>
      <c r="S27" s="235"/>
      <c r="U27" s="29">
        <v>25</v>
      </c>
      <c r="V27" s="30" t="s">
        <v>105</v>
      </c>
      <c r="W27" s="31">
        <v>32346</v>
      </c>
      <c r="X27" s="29">
        <f t="shared" si="1"/>
        <v>1</v>
      </c>
      <c r="Y27" s="32">
        <f t="shared" si="2"/>
        <v>32346</v>
      </c>
      <c r="Z27" s="398">
        <v>405</v>
      </c>
      <c r="AA27" s="398">
        <f t="shared" si="3"/>
        <v>405</v>
      </c>
    </row>
    <row r="28" spans="1:27" s="28" customFormat="1" ht="30" customHeight="1">
      <c r="A28" s="325">
        <f t="shared" si="0"/>
        <v>26</v>
      </c>
      <c r="B28" s="124" t="s">
        <v>85</v>
      </c>
      <c r="C28" s="124" t="s">
        <v>132</v>
      </c>
      <c r="D28" s="124" t="s">
        <v>133</v>
      </c>
      <c r="E28" s="236">
        <v>10944</v>
      </c>
      <c r="F28" s="237">
        <v>142</v>
      </c>
      <c r="G28" s="237"/>
      <c r="H28" s="237"/>
      <c r="I28" s="124" t="s">
        <v>134</v>
      </c>
      <c r="J28" s="125">
        <v>0.29166666666666669</v>
      </c>
      <c r="K28" s="84">
        <v>42472</v>
      </c>
      <c r="L28" s="125">
        <v>0.58333333333333337</v>
      </c>
      <c r="M28" s="155">
        <v>224</v>
      </c>
      <c r="N28" s="124"/>
      <c r="O28" s="124"/>
      <c r="P28" s="124" t="s">
        <v>135</v>
      </c>
      <c r="Q28" s="157" t="s">
        <v>136</v>
      </c>
      <c r="R28" s="87" t="s">
        <v>56</v>
      </c>
      <c r="S28" s="235"/>
      <c r="U28" s="29">
        <v>26</v>
      </c>
      <c r="V28" s="29" t="s">
        <v>137</v>
      </c>
      <c r="W28" s="31">
        <v>28258</v>
      </c>
      <c r="X28" s="29">
        <f t="shared" si="1"/>
        <v>1</v>
      </c>
      <c r="Y28" s="32">
        <f t="shared" si="2"/>
        <v>28258</v>
      </c>
      <c r="Z28" s="398">
        <v>200</v>
      </c>
      <c r="AA28" s="398">
        <f t="shared" si="3"/>
        <v>200</v>
      </c>
    </row>
    <row r="29" spans="1:27" s="28" customFormat="1" ht="30" customHeight="1">
      <c r="A29" s="325">
        <f t="shared" si="0"/>
        <v>27</v>
      </c>
      <c r="B29" s="124" t="s">
        <v>85</v>
      </c>
      <c r="C29" s="124" t="s">
        <v>132</v>
      </c>
      <c r="D29" s="124" t="s">
        <v>133</v>
      </c>
      <c r="E29" s="236">
        <v>10944</v>
      </c>
      <c r="F29" s="237">
        <v>142</v>
      </c>
      <c r="G29" s="237"/>
      <c r="H29" s="237"/>
      <c r="I29" s="124" t="s">
        <v>138</v>
      </c>
      <c r="J29" s="125">
        <v>0.47916666666666669</v>
      </c>
      <c r="K29" s="84">
        <v>42476</v>
      </c>
      <c r="L29" s="125">
        <v>0.79166666666666663</v>
      </c>
      <c r="M29" s="155">
        <v>224</v>
      </c>
      <c r="N29" s="124"/>
      <c r="O29" s="124"/>
      <c r="P29" s="124" t="s">
        <v>135</v>
      </c>
      <c r="Q29" s="157" t="s">
        <v>136</v>
      </c>
      <c r="R29" s="87" t="s">
        <v>56</v>
      </c>
      <c r="S29" s="235"/>
      <c r="U29" s="29">
        <v>27</v>
      </c>
      <c r="V29" s="29" t="s">
        <v>139</v>
      </c>
      <c r="W29" s="31">
        <v>42285</v>
      </c>
      <c r="X29" s="29">
        <f t="shared" si="1"/>
        <v>0</v>
      </c>
      <c r="Y29" s="32">
        <f t="shared" si="2"/>
        <v>0</v>
      </c>
      <c r="Z29" s="398">
        <v>200</v>
      </c>
      <c r="AA29" s="398">
        <f t="shared" si="3"/>
        <v>0</v>
      </c>
    </row>
    <row r="30" spans="1:27" s="28" customFormat="1" ht="30" customHeight="1">
      <c r="A30" s="325">
        <f t="shared" si="0"/>
        <v>28</v>
      </c>
      <c r="B30" s="301" t="s">
        <v>26</v>
      </c>
      <c r="C30" s="124" t="s">
        <v>27</v>
      </c>
      <c r="D30" s="124" t="s">
        <v>28</v>
      </c>
      <c r="E30" s="240">
        <v>167800</v>
      </c>
      <c r="F30" s="268">
        <v>348</v>
      </c>
      <c r="G30" s="268">
        <v>62.5</v>
      </c>
      <c r="H30" s="268">
        <v>8.5</v>
      </c>
      <c r="I30" s="84" t="s">
        <v>140</v>
      </c>
      <c r="J30" s="85">
        <v>0.29166666666666669</v>
      </c>
      <c r="K30" s="84">
        <v>42481</v>
      </c>
      <c r="L30" s="125">
        <v>0.75</v>
      </c>
      <c r="M30" s="155">
        <v>4152</v>
      </c>
      <c r="N30" s="124" t="s">
        <v>109</v>
      </c>
      <c r="O30" s="124" t="s">
        <v>37</v>
      </c>
      <c r="P30" s="156" t="s">
        <v>32</v>
      </c>
      <c r="Q30" s="157" t="s">
        <v>141</v>
      </c>
      <c r="R30" s="87" t="s">
        <v>34</v>
      </c>
      <c r="S30" s="235"/>
      <c r="U30" s="29">
        <v>28</v>
      </c>
      <c r="V30" s="29" t="s">
        <v>142</v>
      </c>
      <c r="W30" s="31">
        <v>77441</v>
      </c>
      <c r="X30" s="29">
        <f t="shared" si="1"/>
        <v>1</v>
      </c>
      <c r="Y30" s="32">
        <f t="shared" si="2"/>
        <v>77441</v>
      </c>
      <c r="Z30" s="398">
        <v>1903</v>
      </c>
      <c r="AA30" s="398">
        <f t="shared" si="3"/>
        <v>1903</v>
      </c>
    </row>
    <row r="31" spans="1:27" s="28" customFormat="1" ht="30" customHeight="1">
      <c r="A31" s="325">
        <f t="shared" si="0"/>
        <v>29</v>
      </c>
      <c r="B31" s="301" t="s">
        <v>66</v>
      </c>
      <c r="C31" s="124" t="s">
        <v>27</v>
      </c>
      <c r="D31" s="124" t="s">
        <v>28</v>
      </c>
      <c r="E31" s="240">
        <v>138279</v>
      </c>
      <c r="F31" s="268">
        <v>311</v>
      </c>
      <c r="G31" s="268">
        <v>63.45</v>
      </c>
      <c r="H31" s="268">
        <v>8.8000000000000007</v>
      </c>
      <c r="I31" s="84" t="s">
        <v>143</v>
      </c>
      <c r="J31" s="85">
        <v>0.33333333333333331</v>
      </c>
      <c r="K31" s="84">
        <v>42482</v>
      </c>
      <c r="L31" s="125">
        <v>0.70833333333333337</v>
      </c>
      <c r="M31" s="240">
        <v>3114</v>
      </c>
      <c r="N31" s="124" t="s">
        <v>68</v>
      </c>
      <c r="O31" s="124" t="s">
        <v>37</v>
      </c>
      <c r="P31" s="156" t="s">
        <v>32</v>
      </c>
      <c r="Q31" s="157" t="s">
        <v>33</v>
      </c>
      <c r="R31" s="87" t="s">
        <v>56</v>
      </c>
      <c r="S31" s="235"/>
      <c r="U31" s="29">
        <v>29</v>
      </c>
      <c r="V31" s="29" t="s">
        <v>144</v>
      </c>
      <c r="W31" s="89">
        <v>24318</v>
      </c>
      <c r="X31" s="29">
        <f t="shared" si="1"/>
        <v>0</v>
      </c>
      <c r="Y31" s="32">
        <f t="shared" si="2"/>
        <v>0</v>
      </c>
      <c r="Z31" s="398"/>
      <c r="AA31" s="398"/>
    </row>
    <row r="32" spans="1:27" s="28" customFormat="1" ht="30" customHeight="1">
      <c r="A32" s="325">
        <f t="shared" si="0"/>
        <v>30</v>
      </c>
      <c r="B32" s="145" t="s">
        <v>145</v>
      </c>
      <c r="C32" s="146" t="s">
        <v>97</v>
      </c>
      <c r="D32" s="146" t="s">
        <v>146</v>
      </c>
      <c r="E32" s="147">
        <v>115875</v>
      </c>
      <c r="F32" s="148">
        <v>290</v>
      </c>
      <c r="G32" s="148">
        <v>54</v>
      </c>
      <c r="H32" s="148">
        <v>8.5</v>
      </c>
      <c r="I32" s="149" t="s">
        <v>147</v>
      </c>
      <c r="J32" s="298">
        <v>0.58333333333333337</v>
      </c>
      <c r="K32" s="297">
        <v>42487</v>
      </c>
      <c r="L32" s="298">
        <v>0.83333333333333337</v>
      </c>
      <c r="M32" s="155">
        <v>2600</v>
      </c>
      <c r="N32" s="158" t="s">
        <v>148</v>
      </c>
      <c r="O32" s="158" t="s">
        <v>37</v>
      </c>
      <c r="P32" s="152" t="s">
        <v>83</v>
      </c>
      <c r="Q32" s="157" t="s">
        <v>84</v>
      </c>
      <c r="R32" s="87" t="s">
        <v>56</v>
      </c>
      <c r="S32" s="235"/>
      <c r="U32" s="29">
        <v>30</v>
      </c>
      <c r="V32" s="29" t="s">
        <v>435</v>
      </c>
      <c r="W32" s="89"/>
      <c r="X32" s="29">
        <f t="shared" si="1"/>
        <v>1</v>
      </c>
      <c r="Y32" s="32"/>
      <c r="Z32" s="398"/>
      <c r="AA32" s="398"/>
    </row>
    <row r="33" spans="1:27" s="28" customFormat="1" ht="30" customHeight="1">
      <c r="A33" s="325">
        <f t="shared" si="0"/>
        <v>31</v>
      </c>
      <c r="B33" s="124" t="s">
        <v>85</v>
      </c>
      <c r="C33" s="124" t="s">
        <v>132</v>
      </c>
      <c r="D33" s="124" t="s">
        <v>133</v>
      </c>
      <c r="E33" s="236">
        <v>10944</v>
      </c>
      <c r="F33" s="237">
        <v>142</v>
      </c>
      <c r="G33" s="237"/>
      <c r="H33" s="237"/>
      <c r="I33" s="124" t="s">
        <v>149</v>
      </c>
      <c r="J33" s="125">
        <v>0.29166666666666669</v>
      </c>
      <c r="K33" s="84">
        <v>42488</v>
      </c>
      <c r="L33" s="125">
        <v>0.58333333333333337</v>
      </c>
      <c r="M33" s="155">
        <v>224</v>
      </c>
      <c r="N33" s="124"/>
      <c r="O33" s="124"/>
      <c r="P33" s="124" t="s">
        <v>135</v>
      </c>
      <c r="Q33" s="157" t="s">
        <v>136</v>
      </c>
      <c r="R33" s="87" t="s">
        <v>56</v>
      </c>
      <c r="S33" s="235"/>
      <c r="U33" s="29"/>
      <c r="V33" s="29"/>
      <c r="W33" s="29"/>
      <c r="X33" s="29">
        <f>SUM(X3:X32)</f>
        <v>213</v>
      </c>
      <c r="Y33" s="32">
        <f>SUM(Y3:Y31)</f>
        <v>22481480</v>
      </c>
      <c r="Z33" s="398"/>
      <c r="AA33" s="398">
        <f>SUM(AA3:AA31)</f>
        <v>579683</v>
      </c>
    </row>
    <row r="34" spans="1:27" s="28" customFormat="1" ht="30" customHeight="1" thickBot="1">
      <c r="A34" s="325">
        <f t="shared" si="0"/>
        <v>32</v>
      </c>
      <c r="B34" s="326" t="s">
        <v>26</v>
      </c>
      <c r="C34" s="327" t="s">
        <v>27</v>
      </c>
      <c r="D34" s="327" t="s">
        <v>28</v>
      </c>
      <c r="E34" s="328">
        <v>167800</v>
      </c>
      <c r="F34" s="329">
        <v>348</v>
      </c>
      <c r="G34" s="329">
        <v>62.5</v>
      </c>
      <c r="H34" s="329">
        <v>8.5</v>
      </c>
      <c r="I34" s="330" t="s">
        <v>150</v>
      </c>
      <c r="J34" s="331">
        <v>0.29166666666666669</v>
      </c>
      <c r="K34" s="330">
        <v>42490</v>
      </c>
      <c r="L34" s="331">
        <v>0.875</v>
      </c>
      <c r="M34" s="248">
        <v>4152</v>
      </c>
      <c r="N34" s="277" t="s">
        <v>44</v>
      </c>
      <c r="O34" s="277" t="s">
        <v>44</v>
      </c>
      <c r="P34" s="249" t="s">
        <v>32</v>
      </c>
      <c r="Q34" s="250" t="s">
        <v>33</v>
      </c>
      <c r="R34" s="252" t="s">
        <v>34</v>
      </c>
      <c r="S34" s="253"/>
    </row>
    <row r="35" spans="1:27" s="28" customFormat="1" ht="30" customHeight="1">
      <c r="A35" s="325">
        <f t="shared" si="0"/>
        <v>33</v>
      </c>
      <c r="B35" s="332" t="s">
        <v>145</v>
      </c>
      <c r="C35" s="333" t="s">
        <v>97</v>
      </c>
      <c r="D35" s="333" t="s">
        <v>146</v>
      </c>
      <c r="E35" s="334">
        <v>115875</v>
      </c>
      <c r="F35" s="335">
        <v>290</v>
      </c>
      <c r="G35" s="335">
        <v>54</v>
      </c>
      <c r="H35" s="335">
        <v>8.5</v>
      </c>
      <c r="I35" s="369" t="s">
        <v>151</v>
      </c>
      <c r="J35" s="370">
        <v>0.54166666666666663</v>
      </c>
      <c r="K35" s="369">
        <v>42492</v>
      </c>
      <c r="L35" s="370">
        <v>0.79166666666666663</v>
      </c>
      <c r="M35" s="371">
        <v>2600</v>
      </c>
      <c r="N35" s="337" t="s">
        <v>148</v>
      </c>
      <c r="O35" s="337" t="s">
        <v>152</v>
      </c>
      <c r="P35" s="336" t="s">
        <v>83</v>
      </c>
      <c r="Q35" s="261" t="s">
        <v>84</v>
      </c>
      <c r="R35" s="262" t="s">
        <v>56</v>
      </c>
      <c r="S35" s="263"/>
    </row>
    <row r="36" spans="1:27" s="28" customFormat="1" ht="30" customHeight="1">
      <c r="A36" s="325">
        <f t="shared" si="0"/>
        <v>34</v>
      </c>
      <c r="B36" s="338" t="s">
        <v>95</v>
      </c>
      <c r="C36" s="339" t="s">
        <v>158</v>
      </c>
      <c r="D36" s="339" t="s">
        <v>159</v>
      </c>
      <c r="E36" s="340">
        <v>114147</v>
      </c>
      <c r="F36" s="341">
        <v>290</v>
      </c>
      <c r="G36" s="341">
        <v>63</v>
      </c>
      <c r="H36" s="341">
        <v>8.3000000000000007</v>
      </c>
      <c r="I36" s="372" t="s">
        <v>151</v>
      </c>
      <c r="J36" s="373">
        <v>0.33333333333333331</v>
      </c>
      <c r="K36" s="372">
        <v>42492</v>
      </c>
      <c r="L36" s="373">
        <v>0.79166666666666663</v>
      </c>
      <c r="M36" s="374">
        <v>2702</v>
      </c>
      <c r="N36" s="344" t="s">
        <v>68</v>
      </c>
      <c r="O36" s="344" t="s">
        <v>53</v>
      </c>
      <c r="P36" s="342" t="s">
        <v>111</v>
      </c>
      <c r="Q36" s="157" t="s">
        <v>55</v>
      </c>
      <c r="R36" s="87" t="s">
        <v>34</v>
      </c>
      <c r="S36" s="235"/>
      <c r="V36" s="95" t="s">
        <v>153</v>
      </c>
      <c r="W36" s="95" t="s">
        <v>154</v>
      </c>
      <c r="X36" s="95" t="s">
        <v>34</v>
      </c>
      <c r="Y36" s="95" t="s">
        <v>155</v>
      </c>
      <c r="Z36" s="95" t="s">
        <v>156</v>
      </c>
      <c r="AA36" s="95" t="s">
        <v>157</v>
      </c>
    </row>
    <row r="37" spans="1:27" s="28" customFormat="1" ht="30" customHeight="1">
      <c r="A37" s="325">
        <f t="shared" si="0"/>
        <v>35</v>
      </c>
      <c r="B37" s="345" t="s">
        <v>85</v>
      </c>
      <c r="C37" s="345" t="s">
        <v>132</v>
      </c>
      <c r="D37" s="345" t="s">
        <v>133</v>
      </c>
      <c r="E37" s="346">
        <v>10944</v>
      </c>
      <c r="F37" s="347">
        <v>142</v>
      </c>
      <c r="G37" s="347"/>
      <c r="H37" s="347"/>
      <c r="I37" s="345" t="s">
        <v>151</v>
      </c>
      <c r="J37" s="375">
        <v>0.47916666666666669</v>
      </c>
      <c r="K37" s="376">
        <v>42492</v>
      </c>
      <c r="L37" s="375">
        <v>0.79166666666666663</v>
      </c>
      <c r="M37" s="374">
        <v>224</v>
      </c>
      <c r="N37" s="345"/>
      <c r="O37" s="345"/>
      <c r="P37" s="345" t="s">
        <v>135</v>
      </c>
      <c r="Q37" s="157" t="s">
        <v>136</v>
      </c>
      <c r="R37" s="87" t="s">
        <v>161</v>
      </c>
      <c r="S37" s="235"/>
      <c r="V37" s="30" t="s">
        <v>160</v>
      </c>
      <c r="W37" s="96">
        <f>COUNTIF($I$3:$I$218,"2016-01*")</f>
        <v>7</v>
      </c>
      <c r="X37" s="97">
        <f>COUNTIFS($I$3:$I$219,"2016-01*",$R$3:$R$219,"감만3번")</f>
        <v>4</v>
      </c>
      <c r="Y37" s="96">
        <f>COUNTIFS($I$3:$I$219,"2016-01*",$R$3:$R$219,"영도")</f>
        <v>2</v>
      </c>
      <c r="Z37" s="96">
        <f>COUNTIFS($I$3:$I$219,"2016-01*",$R$3:$R$219,"부산항국제14번")</f>
        <v>1</v>
      </c>
      <c r="AA37" s="98">
        <f>COUNTIFS($I$3:$I$219,"2016-01*",$R$3:$R$219,"부산항국제1번")</f>
        <v>0</v>
      </c>
    </row>
    <row r="38" spans="1:27" s="28" customFormat="1" ht="30" customHeight="1">
      <c r="A38" s="325">
        <f t="shared" si="0"/>
        <v>36</v>
      </c>
      <c r="B38" s="287" t="s">
        <v>26</v>
      </c>
      <c r="C38" s="270" t="s">
        <v>27</v>
      </c>
      <c r="D38" s="270" t="s">
        <v>28</v>
      </c>
      <c r="E38" s="288">
        <v>167800</v>
      </c>
      <c r="F38" s="283">
        <v>348</v>
      </c>
      <c r="G38" s="283">
        <v>62.5</v>
      </c>
      <c r="H38" s="283">
        <v>8.5</v>
      </c>
      <c r="I38" s="274" t="s">
        <v>163</v>
      </c>
      <c r="J38" s="289">
        <v>0.29166666666666669</v>
      </c>
      <c r="K38" s="274">
        <v>42495</v>
      </c>
      <c r="L38" s="273">
        <v>0.79166666666666663</v>
      </c>
      <c r="M38" s="270">
        <v>4152</v>
      </c>
      <c r="N38" s="270" t="s">
        <v>164</v>
      </c>
      <c r="O38" s="270" t="s">
        <v>31</v>
      </c>
      <c r="P38" s="276" t="s">
        <v>32</v>
      </c>
      <c r="Q38" s="157" t="s">
        <v>141</v>
      </c>
      <c r="R38" s="87" t="s">
        <v>34</v>
      </c>
      <c r="S38" s="235"/>
      <c r="V38" s="30" t="s">
        <v>162</v>
      </c>
      <c r="W38" s="96">
        <f>COUNTIF($I$3:$I$218,"2016-02*")</f>
        <v>5</v>
      </c>
      <c r="X38" s="97">
        <f>COUNTIFS($I$3:$I$219,"2016-02*",$R$3:$R$219,"감만3번")</f>
        <v>4</v>
      </c>
      <c r="Y38" s="96">
        <f>COUNTIFS($I$3:$I$219,"2016-02*",$R$3:$R$219,"영도")</f>
        <v>1</v>
      </c>
      <c r="Z38" s="99">
        <f>COUNTIFS($I$3:$I$219,"2016-02*",$R$3:$R$219,"부산항국제14번")</f>
        <v>0</v>
      </c>
      <c r="AA38" s="98">
        <f>COUNTIFS($I$3:$I$219,"2016-02*",$R$3:$R$219,"부산항국제1번")</f>
        <v>0</v>
      </c>
    </row>
    <row r="39" spans="1:27" s="28" customFormat="1" ht="30" customHeight="1">
      <c r="A39" s="325">
        <f t="shared" si="0"/>
        <v>37</v>
      </c>
      <c r="B39" s="270" t="s">
        <v>39</v>
      </c>
      <c r="C39" s="270" t="s">
        <v>40</v>
      </c>
      <c r="D39" s="270" t="s">
        <v>41</v>
      </c>
      <c r="E39" s="271">
        <v>72458</v>
      </c>
      <c r="F39" s="291">
        <v>245</v>
      </c>
      <c r="G39" s="291"/>
      <c r="H39" s="291">
        <v>7.5</v>
      </c>
      <c r="I39" s="274" t="s">
        <v>166</v>
      </c>
      <c r="J39" s="289">
        <v>0.33333333333333331</v>
      </c>
      <c r="K39" s="274">
        <v>42495</v>
      </c>
      <c r="L39" s="292">
        <v>0.70833333333333337</v>
      </c>
      <c r="M39" s="275">
        <v>1778</v>
      </c>
      <c r="N39" s="286" t="s">
        <v>68</v>
      </c>
      <c r="O39" s="281" t="s">
        <v>37</v>
      </c>
      <c r="P39" s="270" t="s">
        <v>32</v>
      </c>
      <c r="Q39" s="157" t="s">
        <v>33</v>
      </c>
      <c r="R39" s="87" t="s">
        <v>45</v>
      </c>
      <c r="S39" s="235"/>
      <c r="V39" s="30" t="s">
        <v>165</v>
      </c>
      <c r="W39" s="96">
        <f>COUNTIF($I$3:$I$218,"2016-03*")</f>
        <v>8</v>
      </c>
      <c r="X39" s="97">
        <f>COUNTIFS($I$3:$I$219,"2016-03*",$R$3:$R$219,"감만3번")</f>
        <v>3</v>
      </c>
      <c r="Y39" s="96">
        <f>COUNTIFS($I$3:$I$219,"2016-03*",$R$3:$R$219,"영도")</f>
        <v>3</v>
      </c>
      <c r="Z39" s="96">
        <f>COUNTIFS($I$3:$I$219,"2016-03*",$R$3:$R$219,"부산항국제14번")</f>
        <v>2</v>
      </c>
      <c r="AA39" s="98">
        <f>COUNTIFS($I$3:$I$219,"2016-03*",$R$3:$R$219,"부산항국제1번")</f>
        <v>0</v>
      </c>
    </row>
    <row r="40" spans="1:27" s="28" customFormat="1" ht="30" customHeight="1">
      <c r="A40" s="325">
        <f t="shared" si="0"/>
        <v>38</v>
      </c>
      <c r="B40" s="87" t="s">
        <v>145</v>
      </c>
      <c r="C40" s="87" t="s">
        <v>97</v>
      </c>
      <c r="D40" s="87" t="s">
        <v>146</v>
      </c>
      <c r="E40" s="293">
        <v>115875</v>
      </c>
      <c r="F40" s="241">
        <v>290</v>
      </c>
      <c r="G40" s="241">
        <v>54</v>
      </c>
      <c r="H40" s="241">
        <v>8.5</v>
      </c>
      <c r="I40" s="87" t="s">
        <v>168</v>
      </c>
      <c r="J40" s="133">
        <v>0.33333333333333331</v>
      </c>
      <c r="K40" s="134">
        <v>42496</v>
      </c>
      <c r="L40" s="133">
        <v>0.70833333333333337</v>
      </c>
      <c r="M40" s="151">
        <v>2600</v>
      </c>
      <c r="N40" s="154" t="s">
        <v>152</v>
      </c>
      <c r="O40" s="154" t="s">
        <v>152</v>
      </c>
      <c r="P40" s="87" t="s">
        <v>169</v>
      </c>
      <c r="Q40" s="157" t="s">
        <v>84</v>
      </c>
      <c r="R40" s="87" t="s">
        <v>56</v>
      </c>
      <c r="S40" s="235"/>
      <c r="V40" s="30" t="s">
        <v>167</v>
      </c>
      <c r="W40" s="96">
        <f>COUNTIF($I$3:$I$218,"2016-04*")</f>
        <v>12</v>
      </c>
      <c r="X40" s="97">
        <f>COUNTIFS($I$3:$I$219,"2016-04*",$R$3:$R$219,"감만3번")</f>
        <v>3</v>
      </c>
      <c r="Y40" s="96">
        <f>COUNTIFS($I$3:$I$219,"2016-04*",$R$3:$R$219,"영도")</f>
        <v>7</v>
      </c>
      <c r="Z40" s="96">
        <f>COUNTIFS($I$3:$I$219,"2016-04*",$R$3:$R$219,"부산항국제14번")</f>
        <v>2</v>
      </c>
      <c r="AA40" s="98">
        <f>COUNTIFS($I$3:$I$219,"2016-04*",$R$3:$R$219,"부산항국제1번")</f>
        <v>0</v>
      </c>
    </row>
    <row r="41" spans="1:27" s="28" customFormat="1" ht="30" customHeight="1">
      <c r="A41" s="325">
        <f t="shared" si="0"/>
        <v>39</v>
      </c>
      <c r="B41" s="345" t="s">
        <v>115</v>
      </c>
      <c r="C41" s="345" t="s">
        <v>97</v>
      </c>
      <c r="D41" s="345" t="s">
        <v>116</v>
      </c>
      <c r="E41" s="346">
        <v>115875</v>
      </c>
      <c r="F41" s="347">
        <v>290</v>
      </c>
      <c r="G41" s="347">
        <v>54</v>
      </c>
      <c r="H41" s="347">
        <v>8.5</v>
      </c>
      <c r="I41" s="345" t="s">
        <v>171</v>
      </c>
      <c r="J41" s="375">
        <v>0.33333333333333331</v>
      </c>
      <c r="K41" s="376">
        <v>42500</v>
      </c>
      <c r="L41" s="375">
        <v>0.70833333333333337</v>
      </c>
      <c r="M41" s="374">
        <v>2600</v>
      </c>
      <c r="N41" s="345" t="s">
        <v>37</v>
      </c>
      <c r="O41" s="345" t="s">
        <v>44</v>
      </c>
      <c r="P41" s="345" t="s">
        <v>83</v>
      </c>
      <c r="Q41" s="157" t="s">
        <v>84</v>
      </c>
      <c r="R41" s="87" t="s">
        <v>34</v>
      </c>
      <c r="S41" s="235"/>
      <c r="V41" s="30" t="s">
        <v>170</v>
      </c>
      <c r="W41" s="96">
        <f>COUNTIF($I$3:$I$218,"2016-05*")</f>
        <v>25</v>
      </c>
      <c r="X41" s="97">
        <f>COUNTIFS($I$3:$I$219,"2016-05*",$R$3:$R$219,"감만3번")</f>
        <v>4</v>
      </c>
      <c r="Y41" s="96">
        <f>COUNTIFS($I$3:$I$219,"2016-05*",$R$3:$R$219,"영도")</f>
        <v>11</v>
      </c>
      <c r="Z41" s="96">
        <f>COUNTIFS($I$3:$I$219,"2016-05*",$R$3:$R$219,"부산항국제14번")</f>
        <v>9</v>
      </c>
      <c r="AA41" s="104">
        <f>COUNTIFS($I$3:$I$219,"2016-05*",$R$3:$R$219,"부산항국제2번")</f>
        <v>1</v>
      </c>
    </row>
    <row r="42" spans="1:27" s="28" customFormat="1" ht="30" customHeight="1">
      <c r="A42" s="325">
        <f t="shared" si="0"/>
        <v>40</v>
      </c>
      <c r="B42" s="345" t="s">
        <v>39</v>
      </c>
      <c r="C42" s="345" t="s">
        <v>40</v>
      </c>
      <c r="D42" s="345" t="s">
        <v>41</v>
      </c>
      <c r="E42" s="343">
        <v>72458</v>
      </c>
      <c r="F42" s="347">
        <v>245</v>
      </c>
      <c r="G42" s="347"/>
      <c r="H42" s="347">
        <v>7.5</v>
      </c>
      <c r="I42" s="376" t="s">
        <v>173</v>
      </c>
      <c r="J42" s="377">
        <v>0.33333333333333331</v>
      </c>
      <c r="K42" s="376">
        <v>42500</v>
      </c>
      <c r="L42" s="378">
        <v>0.70833333333333337</v>
      </c>
      <c r="M42" s="374">
        <v>1778</v>
      </c>
      <c r="N42" s="344" t="s">
        <v>44</v>
      </c>
      <c r="O42" s="339" t="s">
        <v>174</v>
      </c>
      <c r="P42" s="345" t="s">
        <v>32</v>
      </c>
      <c r="Q42" s="157" t="s">
        <v>33</v>
      </c>
      <c r="R42" s="87" t="s">
        <v>45</v>
      </c>
      <c r="S42" s="235"/>
      <c r="V42" s="30" t="s">
        <v>172</v>
      </c>
      <c r="W42" s="96">
        <f>COUNTIF($I$3:$I$218,"2016-06*")</f>
        <v>17</v>
      </c>
      <c r="X42" s="97">
        <f>COUNTIFS($I$3:$I$219,"2016-06*",$R$3:$R$219,"감만3번")</f>
        <v>4</v>
      </c>
      <c r="Y42" s="96">
        <f>COUNTIFS($I$3:$I$219,"2016-06*",$R$3:$R$219,"영도")</f>
        <v>8</v>
      </c>
      <c r="Z42" s="96">
        <f>COUNTIFS($I$3:$I$219,"2016-06*",$R$3:$R$219,"부산항국제14번")</f>
        <v>4</v>
      </c>
      <c r="AA42" s="98">
        <f>COUNTIFS($I$3:$I$219,"2016-06*",$R$3:$R$219,"부산항국제1번")</f>
        <v>1</v>
      </c>
    </row>
    <row r="43" spans="1:27" s="28" customFormat="1" ht="30" customHeight="1">
      <c r="A43" s="325">
        <f t="shared" si="0"/>
        <v>41</v>
      </c>
      <c r="B43" s="345" t="s">
        <v>176</v>
      </c>
      <c r="C43" s="345" t="s">
        <v>177</v>
      </c>
      <c r="D43" s="345" t="s">
        <v>127</v>
      </c>
      <c r="E43" s="346">
        <v>26594</v>
      </c>
      <c r="F43" s="347">
        <v>183</v>
      </c>
      <c r="G43" s="347">
        <v>39.5</v>
      </c>
      <c r="H43" s="347">
        <v>6.5</v>
      </c>
      <c r="I43" s="234" t="s">
        <v>173</v>
      </c>
      <c r="J43" s="364">
        <v>0.75</v>
      </c>
      <c r="K43" s="232">
        <v>42501</v>
      </c>
      <c r="L43" s="364">
        <v>0.58333333333333337</v>
      </c>
      <c r="M43" s="344">
        <v>680</v>
      </c>
      <c r="N43" s="343" t="s">
        <v>152</v>
      </c>
      <c r="O43" s="342" t="s">
        <v>152</v>
      </c>
      <c r="P43" s="345" t="s">
        <v>83</v>
      </c>
      <c r="Q43" s="157" t="s">
        <v>178</v>
      </c>
      <c r="R43" s="87" t="s">
        <v>56</v>
      </c>
      <c r="S43" s="235"/>
      <c r="V43" s="30" t="s">
        <v>175</v>
      </c>
      <c r="W43" s="96">
        <f>COUNTIF($I$3:$I$218,"2016-07*")</f>
        <v>23</v>
      </c>
      <c r="X43" s="97">
        <f>COUNTIFS($I$3:$I$219,"2016-07*",$R$3:$R$219,"감만3번")</f>
        <v>8</v>
      </c>
      <c r="Y43" s="96">
        <f>COUNTIFS($I$3:$I$219,"2016-07*",$R$3:$R$219,"영도")</f>
        <v>10</v>
      </c>
      <c r="Z43" s="96">
        <f>COUNTIFS($I$3:$I$219,"2016-07*",$R$3:$R$219,"부산항국제14번")</f>
        <v>5</v>
      </c>
      <c r="AA43" s="105">
        <f>COUNTIFS($I$3:$I$219,"2016-07*",$R$3:$R$219,"부산항국제1번")</f>
        <v>0</v>
      </c>
    </row>
    <row r="44" spans="1:27" s="28" customFormat="1" ht="30" customHeight="1">
      <c r="A44" s="325">
        <f t="shared" si="0"/>
        <v>42</v>
      </c>
      <c r="B44" s="124" t="s">
        <v>180</v>
      </c>
      <c r="C44" s="124" t="s">
        <v>181</v>
      </c>
      <c r="D44" s="124" t="s">
        <v>182</v>
      </c>
      <c r="E44" s="236">
        <v>65591</v>
      </c>
      <c r="F44" s="237">
        <v>274.89999999999998</v>
      </c>
      <c r="G44" s="237">
        <v>47</v>
      </c>
      <c r="H44" s="237">
        <v>6.8</v>
      </c>
      <c r="I44" s="124" t="s">
        <v>183</v>
      </c>
      <c r="J44" s="125">
        <v>0.375</v>
      </c>
      <c r="K44" s="84">
        <v>42501</v>
      </c>
      <c r="L44" s="125">
        <v>0.70833333333333337</v>
      </c>
      <c r="M44" s="158"/>
      <c r="N44" s="157" t="s">
        <v>68</v>
      </c>
      <c r="O44" s="156" t="s">
        <v>184</v>
      </c>
      <c r="P44" s="124" t="s">
        <v>181</v>
      </c>
      <c r="Q44" s="157" t="s">
        <v>185</v>
      </c>
      <c r="R44" s="87" t="s">
        <v>45</v>
      </c>
      <c r="S44" s="235"/>
      <c r="V44" s="30" t="s">
        <v>179</v>
      </c>
      <c r="W44" s="96">
        <f>COUNTIF($I$3:$I$218,"2016-08*")</f>
        <v>33</v>
      </c>
      <c r="X44" s="97">
        <f>COUNTIFS($I$3:$I$219,"2016-08*",$R$3:$R$219,"감만3번")</f>
        <v>6</v>
      </c>
      <c r="Y44" s="105">
        <f>COUNTIFS($I$3:$I$219,"2016-08*",$R$3:$R$219,"영도")</f>
        <v>13</v>
      </c>
      <c r="Z44" s="96">
        <f>COUNTIFS($I$3:$I$219,"2016-08*",$R$3:$R$219,"부산항국제14번")</f>
        <v>14</v>
      </c>
      <c r="AA44" s="105">
        <f>COUNTIFS($I$3:$I$219,"2016-08*",$R$3:$R$219,"부산항국제1번")</f>
        <v>0</v>
      </c>
    </row>
    <row r="45" spans="1:27" s="28" customFormat="1" ht="30" customHeight="1">
      <c r="A45" s="325">
        <f t="shared" si="0"/>
        <v>43</v>
      </c>
      <c r="B45" s="348" t="s">
        <v>66</v>
      </c>
      <c r="C45" s="87" t="s">
        <v>27</v>
      </c>
      <c r="D45" s="87" t="s">
        <v>28</v>
      </c>
      <c r="E45" s="349">
        <v>138279</v>
      </c>
      <c r="F45" s="148">
        <v>311</v>
      </c>
      <c r="G45" s="148">
        <v>63.45</v>
      </c>
      <c r="H45" s="148">
        <v>8.8000000000000007</v>
      </c>
      <c r="I45" s="134" t="s">
        <v>187</v>
      </c>
      <c r="J45" s="203">
        <v>0.375</v>
      </c>
      <c r="K45" s="134">
        <v>42506</v>
      </c>
      <c r="L45" s="133">
        <v>0.79166666666666663</v>
      </c>
      <c r="M45" s="349">
        <v>3114</v>
      </c>
      <c r="N45" s="154" t="s">
        <v>68</v>
      </c>
      <c r="O45" s="146" t="s">
        <v>44</v>
      </c>
      <c r="P45" s="152" t="s">
        <v>32</v>
      </c>
      <c r="Q45" s="157" t="s">
        <v>33</v>
      </c>
      <c r="R45" s="87" t="s">
        <v>56</v>
      </c>
      <c r="S45" s="235"/>
      <c r="V45" s="30" t="s">
        <v>186</v>
      </c>
      <c r="W45" s="96">
        <f>COUNTIF($I$3:$I$218,"2016-09*")</f>
        <v>32</v>
      </c>
      <c r="X45" s="97">
        <f>COUNTIFS($I$3:$I$219,"2016-09*",$R$3:$R$219,"감만3번")</f>
        <v>8</v>
      </c>
      <c r="Y45" s="105">
        <f>COUNTIFS($I$3:$I$219,"2016-09*",$R$3:$R$219,"영도")</f>
        <v>15</v>
      </c>
      <c r="Z45" s="96">
        <f>COUNTIFS($I$3:$I$219,"2016-09*",$R$3:$R$219,"부산항국제14번")</f>
        <v>9</v>
      </c>
      <c r="AA45" s="105">
        <f>COUNTIFS($I$3:$I$219,"2016-09*",$R$3:$R$219,"부산항국제1번")</f>
        <v>0</v>
      </c>
    </row>
    <row r="46" spans="1:27" s="28" customFormat="1" ht="30" customHeight="1">
      <c r="A46" s="325">
        <f t="shared" si="0"/>
        <v>44</v>
      </c>
      <c r="B46" s="87" t="s">
        <v>115</v>
      </c>
      <c r="C46" s="87" t="s">
        <v>97</v>
      </c>
      <c r="D46" s="87" t="s">
        <v>116</v>
      </c>
      <c r="E46" s="293">
        <v>115875</v>
      </c>
      <c r="F46" s="241">
        <v>290</v>
      </c>
      <c r="G46" s="241">
        <v>54</v>
      </c>
      <c r="H46" s="241">
        <v>8.5</v>
      </c>
      <c r="I46" s="87" t="s">
        <v>189</v>
      </c>
      <c r="J46" s="133">
        <v>0.33333333333333331</v>
      </c>
      <c r="K46" s="134">
        <v>42508</v>
      </c>
      <c r="L46" s="133">
        <v>0.79166666666666663</v>
      </c>
      <c r="M46" s="151">
        <v>2600</v>
      </c>
      <c r="N46" s="154" t="s">
        <v>44</v>
      </c>
      <c r="O46" s="154" t="s">
        <v>129</v>
      </c>
      <c r="P46" s="87" t="s">
        <v>83</v>
      </c>
      <c r="Q46" s="157" t="s">
        <v>84</v>
      </c>
      <c r="R46" s="87" t="s">
        <v>56</v>
      </c>
      <c r="S46" s="235"/>
      <c r="V46" s="30" t="s">
        <v>188</v>
      </c>
      <c r="W46" s="96">
        <f>COUNTIF($I$3:$I$218,"2016-10*")</f>
        <v>23</v>
      </c>
      <c r="X46" s="97">
        <f>COUNTIFS($I$3:$I$219,"2016-10*",$R$3:$R$219,"감만3번")</f>
        <v>6</v>
      </c>
      <c r="Y46" s="98">
        <f>COUNTIFS($I$3:$I$219,"2016-10*",$R$3:$R$219,"영도")</f>
        <v>12</v>
      </c>
      <c r="Z46" s="96">
        <f>COUNTIFS($I$3:$I$219,"2016-10*",$R$3:$R$219,"부산항국제14번")</f>
        <v>5</v>
      </c>
      <c r="AA46" s="105">
        <f>COUNTIFS($I$3:$I$219,"2016-10*",$R$3:$R$219,"부산항국제1번")</f>
        <v>0</v>
      </c>
    </row>
    <row r="47" spans="1:27" s="28" customFormat="1" ht="30" customHeight="1">
      <c r="A47" s="325">
        <f t="shared" si="0"/>
        <v>45</v>
      </c>
      <c r="B47" s="87" t="s">
        <v>39</v>
      </c>
      <c r="C47" s="87" t="s">
        <v>40</v>
      </c>
      <c r="D47" s="87" t="s">
        <v>41</v>
      </c>
      <c r="E47" s="153">
        <v>72458</v>
      </c>
      <c r="F47" s="241">
        <v>245</v>
      </c>
      <c r="G47" s="241"/>
      <c r="H47" s="241">
        <v>7.5</v>
      </c>
      <c r="I47" s="134" t="s">
        <v>191</v>
      </c>
      <c r="J47" s="203">
        <v>0.35416666666666669</v>
      </c>
      <c r="K47" s="134">
        <v>42509</v>
      </c>
      <c r="L47" s="135">
        <v>0.70833333333333337</v>
      </c>
      <c r="M47" s="151">
        <v>1778</v>
      </c>
      <c r="N47" s="154" t="s">
        <v>68</v>
      </c>
      <c r="O47" s="146" t="s">
        <v>37</v>
      </c>
      <c r="P47" s="87" t="s">
        <v>32</v>
      </c>
      <c r="Q47" s="157" t="s">
        <v>33</v>
      </c>
      <c r="R47" s="87" t="s">
        <v>45</v>
      </c>
      <c r="S47" s="235"/>
      <c r="V47" s="30" t="s">
        <v>190</v>
      </c>
      <c r="W47" s="96">
        <f>COUNTIF($I$3:$I$218,"2016-11*")</f>
        <v>16</v>
      </c>
      <c r="X47" s="97">
        <f>COUNTIFS($I$3:$I$219,"2016-11*",$R$3:$R$219,"감만3번")</f>
        <v>11</v>
      </c>
      <c r="Y47" s="98">
        <f>COUNTIFS($I$3:$I$219,"2016-11*",$R$3:$R$219,"영도")</f>
        <v>0</v>
      </c>
      <c r="Z47" s="96">
        <f>COUNTIFS($I$3:$I$219,"2016-11*",$R$3:$R$219,"부산항국제14번")</f>
        <v>5</v>
      </c>
      <c r="AA47" s="98">
        <f>COUNTIFS($I$3:$I$219,"2016-11*",$R$3:$R$219,"부산항국제1번")</f>
        <v>0</v>
      </c>
    </row>
    <row r="48" spans="1:27" s="28" customFormat="1" ht="30" customHeight="1">
      <c r="A48" s="325">
        <f t="shared" si="0"/>
        <v>46</v>
      </c>
      <c r="B48" s="270" t="s">
        <v>180</v>
      </c>
      <c r="C48" s="270" t="s">
        <v>181</v>
      </c>
      <c r="D48" s="270" t="s">
        <v>193</v>
      </c>
      <c r="E48" s="271">
        <v>65591</v>
      </c>
      <c r="F48" s="291">
        <v>274.89999999999998</v>
      </c>
      <c r="G48" s="291">
        <v>47</v>
      </c>
      <c r="H48" s="291">
        <v>6.8</v>
      </c>
      <c r="I48" s="274" t="s">
        <v>194</v>
      </c>
      <c r="J48" s="289">
        <v>0.375</v>
      </c>
      <c r="K48" s="274">
        <v>42510</v>
      </c>
      <c r="L48" s="292">
        <v>0.70833333333333337</v>
      </c>
      <c r="M48" s="275">
        <v>2700</v>
      </c>
      <c r="N48" s="286" t="s">
        <v>68</v>
      </c>
      <c r="O48" s="286" t="s">
        <v>184</v>
      </c>
      <c r="P48" s="270" t="s">
        <v>181</v>
      </c>
      <c r="Q48" s="157" t="s">
        <v>185</v>
      </c>
      <c r="R48" s="87" t="s">
        <v>45</v>
      </c>
      <c r="S48" s="235"/>
      <c r="V48" s="30" t="s">
        <v>192</v>
      </c>
      <c r="W48" s="96">
        <f>COUNTIF($I$3:$I$218,"2016-12*")</f>
        <v>12</v>
      </c>
      <c r="X48" s="97">
        <f>COUNTIFS($I$3:$I$219,"2016-12*",$R$3:$R$219,"감만3번")</f>
        <v>8</v>
      </c>
      <c r="Y48" s="98">
        <f>COUNTIFS($I$3:$I$219,"2016-12*",$R$3:$R$219,"영도")</f>
        <v>0</v>
      </c>
      <c r="Z48" s="96">
        <f>COUNTIFS($I$3:$I$219,"2016-12*",$R$3:$R$219,"부산항국제14번")</f>
        <v>4</v>
      </c>
      <c r="AA48" s="98">
        <f>COUNTIFS($I$3:$I$219,"2016-12*",$R$3:$R$219,"부산항국제1번")</f>
        <v>0</v>
      </c>
    </row>
    <row r="49" spans="1:27" s="28" customFormat="1" ht="30" customHeight="1">
      <c r="A49" s="325">
        <f t="shared" si="0"/>
        <v>47</v>
      </c>
      <c r="B49" s="270" t="s">
        <v>195</v>
      </c>
      <c r="C49" s="270" t="s">
        <v>27</v>
      </c>
      <c r="D49" s="270" t="s">
        <v>28</v>
      </c>
      <c r="E49" s="294">
        <v>69472</v>
      </c>
      <c r="F49" s="291">
        <v>264</v>
      </c>
      <c r="G49" s="291">
        <v>50</v>
      </c>
      <c r="H49" s="291">
        <v>8</v>
      </c>
      <c r="I49" s="270" t="s">
        <v>194</v>
      </c>
      <c r="J49" s="273">
        <v>0.5</v>
      </c>
      <c r="K49" s="274">
        <v>42510</v>
      </c>
      <c r="L49" s="273">
        <v>0.83333333333333337</v>
      </c>
      <c r="M49" s="275">
        <v>1832</v>
      </c>
      <c r="N49" s="286" t="s">
        <v>196</v>
      </c>
      <c r="O49" s="286" t="s">
        <v>197</v>
      </c>
      <c r="P49" s="270" t="s">
        <v>32</v>
      </c>
      <c r="Q49" s="157" t="s">
        <v>33</v>
      </c>
      <c r="R49" s="87" t="s">
        <v>56</v>
      </c>
      <c r="S49" s="235"/>
      <c r="V49" s="95" t="s">
        <v>154</v>
      </c>
      <c r="W49" s="95">
        <f>SUM(W37:W48)</f>
        <v>213</v>
      </c>
      <c r="X49" s="95">
        <f>SUM(X37:X48)</f>
        <v>69</v>
      </c>
      <c r="Y49" s="95">
        <f>SUM(Y37:Y48)</f>
        <v>82</v>
      </c>
      <c r="Z49" s="95">
        <f>SUM(Z37:Z48)</f>
        <v>60</v>
      </c>
      <c r="AA49" s="95">
        <f>SUM(AA37:AA48)</f>
        <v>2</v>
      </c>
    </row>
    <row r="50" spans="1:27" s="28" customFormat="1" ht="30" customHeight="1">
      <c r="A50" s="325">
        <f t="shared" si="0"/>
        <v>48</v>
      </c>
      <c r="B50" s="295" t="s">
        <v>26</v>
      </c>
      <c r="C50" s="269" t="s">
        <v>27</v>
      </c>
      <c r="D50" s="269" t="s">
        <v>28</v>
      </c>
      <c r="E50" s="296">
        <v>167800</v>
      </c>
      <c r="F50" s="268">
        <v>348</v>
      </c>
      <c r="G50" s="268">
        <v>62.5</v>
      </c>
      <c r="H50" s="268">
        <v>8.5</v>
      </c>
      <c r="I50" s="297" t="s">
        <v>198</v>
      </c>
      <c r="J50" s="298">
        <v>0.29166666666666669</v>
      </c>
      <c r="K50" s="297">
        <v>42512</v>
      </c>
      <c r="L50" s="298">
        <v>0.70833333333333337</v>
      </c>
      <c r="M50" s="155">
        <v>4152</v>
      </c>
      <c r="N50" s="158" t="s">
        <v>44</v>
      </c>
      <c r="O50" s="269" t="s">
        <v>199</v>
      </c>
      <c r="P50" s="156" t="s">
        <v>32</v>
      </c>
      <c r="Q50" s="157" t="s">
        <v>33</v>
      </c>
      <c r="R50" s="87" t="s">
        <v>34</v>
      </c>
      <c r="S50" s="235"/>
    </row>
    <row r="51" spans="1:27" s="28" customFormat="1" ht="30" customHeight="1">
      <c r="A51" s="325">
        <f t="shared" si="0"/>
        <v>49</v>
      </c>
      <c r="B51" s="124" t="s">
        <v>115</v>
      </c>
      <c r="C51" s="124" t="s">
        <v>97</v>
      </c>
      <c r="D51" s="124" t="s">
        <v>116</v>
      </c>
      <c r="E51" s="236">
        <v>115875</v>
      </c>
      <c r="F51" s="237">
        <v>290</v>
      </c>
      <c r="G51" s="241">
        <v>54</v>
      </c>
      <c r="H51" s="241">
        <v>8.5</v>
      </c>
      <c r="I51" s="124" t="s">
        <v>203</v>
      </c>
      <c r="J51" s="125">
        <v>0.33333333333333331</v>
      </c>
      <c r="K51" s="84">
        <v>42513</v>
      </c>
      <c r="L51" s="133">
        <v>0.79166666666666663</v>
      </c>
      <c r="M51" s="155">
        <v>2600</v>
      </c>
      <c r="N51" s="158" t="s">
        <v>82</v>
      </c>
      <c r="O51" s="154" t="s">
        <v>37</v>
      </c>
      <c r="P51" s="124" t="s">
        <v>83</v>
      </c>
      <c r="Q51" s="157" t="s">
        <v>84</v>
      </c>
      <c r="R51" s="87" t="s">
        <v>56</v>
      </c>
      <c r="S51" s="235"/>
      <c r="V51" s="30" t="s">
        <v>200</v>
      </c>
      <c r="W51" s="30" t="s">
        <v>201</v>
      </c>
      <c r="X51" s="30" t="s">
        <v>202</v>
      </c>
    </row>
    <row r="52" spans="1:27" s="28" customFormat="1" ht="30" customHeight="1">
      <c r="A52" s="325">
        <f t="shared" si="0"/>
        <v>50</v>
      </c>
      <c r="B52" s="280" t="s">
        <v>205</v>
      </c>
      <c r="C52" s="281" t="s">
        <v>206</v>
      </c>
      <c r="D52" s="281" t="s">
        <v>50</v>
      </c>
      <c r="E52" s="282">
        <v>75166</v>
      </c>
      <c r="F52" s="283">
        <v>252.37</v>
      </c>
      <c r="G52" s="283">
        <v>51.4</v>
      </c>
      <c r="H52" s="283">
        <v>8</v>
      </c>
      <c r="I52" s="284" t="s">
        <v>207</v>
      </c>
      <c r="J52" s="285">
        <v>0.54166666666666663</v>
      </c>
      <c r="K52" s="284">
        <v>42514</v>
      </c>
      <c r="L52" s="285">
        <v>0.91666666666666663</v>
      </c>
      <c r="M52" s="275">
        <v>1928</v>
      </c>
      <c r="N52" s="286" t="s">
        <v>208</v>
      </c>
      <c r="O52" s="286" t="s">
        <v>37</v>
      </c>
      <c r="P52" s="276" t="s">
        <v>111</v>
      </c>
      <c r="Q52" s="157" t="s">
        <v>209</v>
      </c>
      <c r="R52" s="87" t="s">
        <v>45</v>
      </c>
      <c r="S52" s="235" t="s">
        <v>210</v>
      </c>
      <c r="V52" s="30" t="s">
        <v>204</v>
      </c>
      <c r="W52" s="30">
        <f>COUNTIF($E$3:$E$215,"&gt;100000")</f>
        <v>120</v>
      </c>
      <c r="X52" s="111">
        <f>W52/W54</f>
        <v>0.56338028169014087</v>
      </c>
    </row>
    <row r="53" spans="1:27" s="28" customFormat="1" ht="30" customHeight="1">
      <c r="A53" s="325">
        <f t="shared" si="0"/>
        <v>51</v>
      </c>
      <c r="B53" s="270" t="s">
        <v>195</v>
      </c>
      <c r="C53" s="270" t="s">
        <v>27</v>
      </c>
      <c r="D53" s="270" t="s">
        <v>28</v>
      </c>
      <c r="E53" s="294">
        <v>69472</v>
      </c>
      <c r="F53" s="291">
        <v>264</v>
      </c>
      <c r="G53" s="291">
        <v>50</v>
      </c>
      <c r="H53" s="291">
        <v>8</v>
      </c>
      <c r="I53" s="270" t="s">
        <v>207</v>
      </c>
      <c r="J53" s="273">
        <v>0.45833333333333331</v>
      </c>
      <c r="K53" s="274">
        <v>42514</v>
      </c>
      <c r="L53" s="273">
        <v>0.79166666666666663</v>
      </c>
      <c r="M53" s="275">
        <v>1832</v>
      </c>
      <c r="N53" s="286" t="s">
        <v>212</v>
      </c>
      <c r="O53" s="286" t="s">
        <v>68</v>
      </c>
      <c r="P53" s="270" t="s">
        <v>32</v>
      </c>
      <c r="Q53" s="157" t="s">
        <v>33</v>
      </c>
      <c r="R53" s="87" t="s">
        <v>56</v>
      </c>
      <c r="S53" s="235"/>
      <c r="V53" s="30" t="s">
        <v>211</v>
      </c>
      <c r="W53" s="30">
        <f>COUNTIF($E$3:$E$215,"&lt;=100000")</f>
        <v>93</v>
      </c>
      <c r="X53" s="111">
        <f>W53/W54</f>
        <v>0.43661971830985913</v>
      </c>
    </row>
    <row r="54" spans="1:27" s="28" customFormat="1" ht="30" customHeight="1">
      <c r="A54" s="325">
        <f t="shared" si="0"/>
        <v>52</v>
      </c>
      <c r="B54" s="87" t="s">
        <v>39</v>
      </c>
      <c r="C54" s="87" t="s">
        <v>40</v>
      </c>
      <c r="D54" s="87" t="s">
        <v>41</v>
      </c>
      <c r="E54" s="153">
        <v>72458</v>
      </c>
      <c r="F54" s="241">
        <v>245</v>
      </c>
      <c r="G54" s="241"/>
      <c r="H54" s="241">
        <v>7.5</v>
      </c>
      <c r="I54" s="134" t="s">
        <v>213</v>
      </c>
      <c r="J54" s="203">
        <v>0.33333333333333331</v>
      </c>
      <c r="K54" s="134">
        <v>42515</v>
      </c>
      <c r="L54" s="135">
        <v>0.70833333333333337</v>
      </c>
      <c r="M54" s="151">
        <v>1778</v>
      </c>
      <c r="N54" s="154" t="s">
        <v>53</v>
      </c>
      <c r="O54" s="154" t="s">
        <v>44</v>
      </c>
      <c r="P54" s="87" t="s">
        <v>32</v>
      </c>
      <c r="Q54" s="157" t="s">
        <v>33</v>
      </c>
      <c r="R54" s="87" t="s">
        <v>155</v>
      </c>
      <c r="S54" s="235"/>
      <c r="V54" s="30" t="s">
        <v>154</v>
      </c>
      <c r="W54" s="30">
        <f>SUM(W52:W53)</f>
        <v>213</v>
      </c>
      <c r="X54" s="111">
        <f>SUM(X52:X53)</f>
        <v>1</v>
      </c>
    </row>
    <row r="55" spans="1:27" s="28" customFormat="1" ht="30" customHeight="1">
      <c r="A55" s="325">
        <f t="shared" si="0"/>
        <v>53</v>
      </c>
      <c r="B55" s="87" t="s">
        <v>145</v>
      </c>
      <c r="C55" s="87" t="s">
        <v>97</v>
      </c>
      <c r="D55" s="87" t="s">
        <v>146</v>
      </c>
      <c r="E55" s="293">
        <v>115875</v>
      </c>
      <c r="F55" s="241">
        <v>290</v>
      </c>
      <c r="G55" s="241">
        <v>54</v>
      </c>
      <c r="H55" s="241">
        <v>8.5</v>
      </c>
      <c r="I55" s="87" t="s">
        <v>214</v>
      </c>
      <c r="J55" s="133">
        <v>0.6875</v>
      </c>
      <c r="K55" s="134">
        <v>42516</v>
      </c>
      <c r="L55" s="133">
        <v>0.9375</v>
      </c>
      <c r="M55" s="151">
        <v>2600</v>
      </c>
      <c r="N55" s="154" t="s">
        <v>152</v>
      </c>
      <c r="O55" s="154" t="s">
        <v>37</v>
      </c>
      <c r="P55" s="87" t="s">
        <v>169</v>
      </c>
      <c r="Q55" s="157" t="s">
        <v>84</v>
      </c>
      <c r="R55" s="87" t="s">
        <v>56</v>
      </c>
      <c r="S55" s="235"/>
      <c r="V55" s="112"/>
      <c r="W55" s="112"/>
      <c r="X55" s="113"/>
    </row>
    <row r="56" spans="1:27" s="28" customFormat="1" ht="30" customHeight="1">
      <c r="A56" s="325">
        <f t="shared" si="0"/>
        <v>54</v>
      </c>
      <c r="B56" s="295" t="s">
        <v>205</v>
      </c>
      <c r="C56" s="269" t="s">
        <v>206</v>
      </c>
      <c r="D56" s="269" t="s">
        <v>50</v>
      </c>
      <c r="E56" s="296">
        <v>75166</v>
      </c>
      <c r="F56" s="268">
        <v>252.37</v>
      </c>
      <c r="G56" s="268">
        <v>51.4</v>
      </c>
      <c r="H56" s="268">
        <v>8</v>
      </c>
      <c r="I56" s="297" t="s">
        <v>216</v>
      </c>
      <c r="J56" s="298">
        <v>0.33333333333333331</v>
      </c>
      <c r="K56" s="297">
        <v>42517</v>
      </c>
      <c r="L56" s="298">
        <v>0.75</v>
      </c>
      <c r="M56" s="155">
        <v>1928</v>
      </c>
      <c r="N56" s="158" t="s">
        <v>174</v>
      </c>
      <c r="O56" s="158" t="s">
        <v>174</v>
      </c>
      <c r="P56" s="156" t="s">
        <v>111</v>
      </c>
      <c r="Q56" s="157" t="s">
        <v>209</v>
      </c>
      <c r="R56" s="124" t="s">
        <v>45</v>
      </c>
      <c r="S56" s="235" t="s">
        <v>218</v>
      </c>
      <c r="V56" s="114" t="s">
        <v>215</v>
      </c>
      <c r="W56" s="114" t="s">
        <v>201</v>
      </c>
    </row>
    <row r="57" spans="1:27" s="28" customFormat="1" ht="30" customHeight="1">
      <c r="A57" s="325">
        <f t="shared" si="0"/>
        <v>55</v>
      </c>
      <c r="B57" s="87" t="s">
        <v>39</v>
      </c>
      <c r="C57" s="87" t="s">
        <v>40</v>
      </c>
      <c r="D57" s="87" t="s">
        <v>41</v>
      </c>
      <c r="E57" s="153">
        <v>72458</v>
      </c>
      <c r="F57" s="241">
        <v>245</v>
      </c>
      <c r="G57" s="241"/>
      <c r="H57" s="241">
        <v>7.5</v>
      </c>
      <c r="I57" s="134" t="s">
        <v>219</v>
      </c>
      <c r="J57" s="203">
        <v>0.33333333333333331</v>
      </c>
      <c r="K57" s="134">
        <v>42519</v>
      </c>
      <c r="L57" s="135">
        <v>0.70833333333333337</v>
      </c>
      <c r="M57" s="151">
        <v>1778</v>
      </c>
      <c r="N57" s="154" t="s">
        <v>68</v>
      </c>
      <c r="O57" s="146" t="s">
        <v>53</v>
      </c>
      <c r="P57" s="87" t="s">
        <v>32</v>
      </c>
      <c r="Q57" s="157" t="s">
        <v>33</v>
      </c>
      <c r="R57" s="87" t="s">
        <v>45</v>
      </c>
      <c r="S57" s="235"/>
      <c r="V57" s="115" t="s">
        <v>34</v>
      </c>
      <c r="W57" s="115">
        <f>COUNTIF($R$3:$R$215,V57)</f>
        <v>69</v>
      </c>
    </row>
    <row r="58" spans="1:27" s="28" customFormat="1" ht="30" customHeight="1">
      <c r="A58" s="325">
        <f t="shared" si="0"/>
        <v>56</v>
      </c>
      <c r="B58" s="295" t="s">
        <v>205</v>
      </c>
      <c r="C58" s="269" t="s">
        <v>206</v>
      </c>
      <c r="D58" s="269" t="s">
        <v>50</v>
      </c>
      <c r="E58" s="296">
        <v>75166</v>
      </c>
      <c r="F58" s="268">
        <v>252.37</v>
      </c>
      <c r="G58" s="268">
        <v>51.4</v>
      </c>
      <c r="H58" s="268">
        <v>8</v>
      </c>
      <c r="I58" s="297" t="s">
        <v>220</v>
      </c>
      <c r="J58" s="298">
        <v>0.33333333333333331</v>
      </c>
      <c r="K58" s="297">
        <v>42520</v>
      </c>
      <c r="L58" s="298">
        <v>0.79166666666666663</v>
      </c>
      <c r="M58" s="155">
        <v>1928</v>
      </c>
      <c r="N58" s="158" t="s">
        <v>184</v>
      </c>
      <c r="O58" s="158" t="s">
        <v>221</v>
      </c>
      <c r="P58" s="156" t="s">
        <v>111</v>
      </c>
      <c r="Q58" s="157" t="s">
        <v>209</v>
      </c>
      <c r="R58" s="87" t="s">
        <v>45</v>
      </c>
      <c r="S58" s="235" t="s">
        <v>222</v>
      </c>
      <c r="V58" s="115" t="s">
        <v>45</v>
      </c>
      <c r="W58" s="115">
        <f>COUNTIF($R$3:$R$215,V58)</f>
        <v>60</v>
      </c>
    </row>
    <row r="59" spans="1:27" s="28" customFormat="1" ht="30" customHeight="1" thickBot="1">
      <c r="A59" s="325">
        <f t="shared" si="0"/>
        <v>57</v>
      </c>
      <c r="B59" s="242" t="s">
        <v>77</v>
      </c>
      <c r="C59" s="243" t="s">
        <v>224</v>
      </c>
      <c r="D59" s="243"/>
      <c r="E59" s="244">
        <v>24427</v>
      </c>
      <c r="F59" s="245">
        <v>180.45</v>
      </c>
      <c r="G59" s="245"/>
      <c r="H59" s="245"/>
      <c r="I59" s="246" t="s">
        <v>225</v>
      </c>
      <c r="J59" s="247">
        <v>0.33333333333333331</v>
      </c>
      <c r="K59" s="246">
        <v>42521</v>
      </c>
      <c r="L59" s="247">
        <v>0.83333333333333337</v>
      </c>
      <c r="M59" s="299"/>
      <c r="N59" s="300" t="s">
        <v>226</v>
      </c>
      <c r="O59" s="300" t="s">
        <v>227</v>
      </c>
      <c r="P59" s="251" t="s">
        <v>228</v>
      </c>
      <c r="Q59" s="250" t="s">
        <v>123</v>
      </c>
      <c r="R59" s="252" t="s">
        <v>155</v>
      </c>
      <c r="S59" s="253"/>
      <c r="V59" s="115" t="s">
        <v>223</v>
      </c>
      <c r="W59" s="115">
        <f>COUNTIF($R$3:$R$215,V59)</f>
        <v>1</v>
      </c>
    </row>
    <row r="60" spans="1:27" s="28" customFormat="1" ht="30" customHeight="1">
      <c r="A60" s="325">
        <f t="shared" si="0"/>
        <v>58</v>
      </c>
      <c r="B60" s="350" t="s">
        <v>115</v>
      </c>
      <c r="C60" s="350" t="s">
        <v>97</v>
      </c>
      <c r="D60" s="350" t="s">
        <v>116</v>
      </c>
      <c r="E60" s="351">
        <v>115875</v>
      </c>
      <c r="F60" s="352">
        <v>290</v>
      </c>
      <c r="G60" s="352">
        <v>54</v>
      </c>
      <c r="H60" s="352">
        <v>8.5</v>
      </c>
      <c r="I60" s="350" t="s">
        <v>229</v>
      </c>
      <c r="J60" s="379">
        <v>0.33333333333333331</v>
      </c>
      <c r="K60" s="380">
        <v>42522</v>
      </c>
      <c r="L60" s="379">
        <v>0.79166666666666663</v>
      </c>
      <c r="M60" s="371">
        <v>2600</v>
      </c>
      <c r="N60" s="337" t="s">
        <v>82</v>
      </c>
      <c r="O60" s="337" t="s">
        <v>37</v>
      </c>
      <c r="P60" s="350" t="s">
        <v>83</v>
      </c>
      <c r="Q60" s="261" t="s">
        <v>84</v>
      </c>
      <c r="R60" s="262" t="s">
        <v>34</v>
      </c>
      <c r="S60" s="263"/>
      <c r="V60" s="115" t="s">
        <v>161</v>
      </c>
      <c r="W60" s="115">
        <f>COUNTIF($R$3:$R$215,V60)</f>
        <v>1</v>
      </c>
    </row>
    <row r="61" spans="1:27" s="28" customFormat="1" ht="30" customHeight="1">
      <c r="A61" s="325">
        <f t="shared" si="0"/>
        <v>59</v>
      </c>
      <c r="B61" s="353" t="s">
        <v>66</v>
      </c>
      <c r="C61" s="345" t="s">
        <v>27</v>
      </c>
      <c r="D61" s="345" t="s">
        <v>28</v>
      </c>
      <c r="E61" s="354">
        <v>138279</v>
      </c>
      <c r="F61" s="341">
        <v>311</v>
      </c>
      <c r="G61" s="341">
        <v>63.45</v>
      </c>
      <c r="H61" s="341">
        <v>8.8000000000000007</v>
      </c>
      <c r="I61" s="376" t="s">
        <v>230</v>
      </c>
      <c r="J61" s="377">
        <v>0.375</v>
      </c>
      <c r="K61" s="376">
        <v>42522</v>
      </c>
      <c r="L61" s="375">
        <v>0.79166666666666663</v>
      </c>
      <c r="M61" s="354">
        <v>3114</v>
      </c>
      <c r="N61" s="344" t="s">
        <v>44</v>
      </c>
      <c r="O61" s="339" t="s">
        <v>53</v>
      </c>
      <c r="P61" s="342" t="s">
        <v>32</v>
      </c>
      <c r="Q61" s="157" t="s">
        <v>33</v>
      </c>
      <c r="R61" s="87" t="s">
        <v>56</v>
      </c>
      <c r="S61" s="235"/>
      <c r="V61" s="115" t="s">
        <v>155</v>
      </c>
      <c r="W61" s="115">
        <f>COUNTIF($R$3:$R$215,V61)</f>
        <v>82</v>
      </c>
    </row>
    <row r="62" spans="1:27" s="28" customFormat="1" ht="30" customHeight="1">
      <c r="A62" s="325">
        <f t="shared" si="0"/>
        <v>60</v>
      </c>
      <c r="B62" s="345" t="s">
        <v>195</v>
      </c>
      <c r="C62" s="345" t="s">
        <v>27</v>
      </c>
      <c r="D62" s="345" t="s">
        <v>28</v>
      </c>
      <c r="E62" s="346">
        <v>69472</v>
      </c>
      <c r="F62" s="347">
        <v>264</v>
      </c>
      <c r="G62" s="347">
        <v>50</v>
      </c>
      <c r="H62" s="347">
        <v>8</v>
      </c>
      <c r="I62" s="345" t="s">
        <v>230</v>
      </c>
      <c r="J62" s="375">
        <v>0.29166666666666669</v>
      </c>
      <c r="K62" s="376">
        <v>42522</v>
      </c>
      <c r="L62" s="375">
        <v>0.66666666666666663</v>
      </c>
      <c r="M62" s="374">
        <v>1832</v>
      </c>
      <c r="N62" s="344" t="s">
        <v>43</v>
      </c>
      <c r="O62" s="344" t="s">
        <v>212</v>
      </c>
      <c r="P62" s="345" t="s">
        <v>32</v>
      </c>
      <c r="Q62" s="157" t="s">
        <v>33</v>
      </c>
      <c r="R62" s="87" t="s">
        <v>223</v>
      </c>
      <c r="S62" s="235"/>
      <c r="V62" s="118" t="s">
        <v>231</v>
      </c>
      <c r="W62" s="115">
        <f>SUM(W57:W61)</f>
        <v>213</v>
      </c>
    </row>
    <row r="63" spans="1:27" s="28" customFormat="1" ht="30" customHeight="1">
      <c r="A63" s="325">
        <f t="shared" si="0"/>
        <v>61</v>
      </c>
      <c r="B63" s="280" t="s">
        <v>205</v>
      </c>
      <c r="C63" s="281" t="s">
        <v>206</v>
      </c>
      <c r="D63" s="281" t="s">
        <v>50</v>
      </c>
      <c r="E63" s="282">
        <v>75166</v>
      </c>
      <c r="F63" s="283">
        <v>252.37</v>
      </c>
      <c r="G63" s="283">
        <v>51.4</v>
      </c>
      <c r="H63" s="283">
        <v>8</v>
      </c>
      <c r="I63" s="284" t="s">
        <v>232</v>
      </c>
      <c r="J63" s="285">
        <v>0.33333333333333331</v>
      </c>
      <c r="K63" s="284">
        <v>42525</v>
      </c>
      <c r="L63" s="285">
        <v>0.75</v>
      </c>
      <c r="M63" s="275">
        <v>1928</v>
      </c>
      <c r="N63" s="286" t="s">
        <v>233</v>
      </c>
      <c r="O63" s="286" t="s">
        <v>44</v>
      </c>
      <c r="P63" s="276" t="s">
        <v>111</v>
      </c>
      <c r="Q63" s="157" t="s">
        <v>55</v>
      </c>
      <c r="R63" s="87" t="s">
        <v>45</v>
      </c>
      <c r="S63" s="235" t="s">
        <v>234</v>
      </c>
    </row>
    <row r="64" spans="1:27" s="28" customFormat="1" ht="30" customHeight="1">
      <c r="A64" s="325">
        <f t="shared" si="0"/>
        <v>62</v>
      </c>
      <c r="B64" s="280" t="s">
        <v>26</v>
      </c>
      <c r="C64" s="281" t="s">
        <v>27</v>
      </c>
      <c r="D64" s="281" t="s">
        <v>28</v>
      </c>
      <c r="E64" s="282">
        <v>167800</v>
      </c>
      <c r="F64" s="283">
        <v>348</v>
      </c>
      <c r="G64" s="283">
        <v>62.5</v>
      </c>
      <c r="H64" s="283">
        <v>8.5</v>
      </c>
      <c r="I64" s="284" t="s">
        <v>232</v>
      </c>
      <c r="J64" s="285">
        <v>0.29166666666666669</v>
      </c>
      <c r="K64" s="284">
        <v>42525</v>
      </c>
      <c r="L64" s="285">
        <v>0.79166666666666663</v>
      </c>
      <c r="M64" s="275">
        <v>4152</v>
      </c>
      <c r="N64" s="286" t="s">
        <v>235</v>
      </c>
      <c r="O64" s="281" t="s">
        <v>37</v>
      </c>
      <c r="P64" s="276" t="s">
        <v>32</v>
      </c>
      <c r="Q64" s="157" t="s">
        <v>33</v>
      </c>
      <c r="R64" s="87" t="s">
        <v>34</v>
      </c>
      <c r="S64" s="235"/>
    </row>
    <row r="65" spans="1:25" s="28" customFormat="1" ht="30" customHeight="1">
      <c r="A65" s="325">
        <f t="shared" si="0"/>
        <v>63</v>
      </c>
      <c r="B65" s="280" t="s">
        <v>236</v>
      </c>
      <c r="C65" s="281" t="s">
        <v>97</v>
      </c>
      <c r="D65" s="281" t="s">
        <v>88</v>
      </c>
      <c r="E65" s="282">
        <v>108865</v>
      </c>
      <c r="F65" s="283">
        <v>290</v>
      </c>
      <c r="G65" s="283">
        <v>54</v>
      </c>
      <c r="H65" s="283">
        <v>8.5</v>
      </c>
      <c r="I65" s="284" t="s">
        <v>237</v>
      </c>
      <c r="J65" s="285">
        <v>0.29166666666666669</v>
      </c>
      <c r="K65" s="284">
        <v>42529</v>
      </c>
      <c r="L65" s="285">
        <v>0.70833333333333337</v>
      </c>
      <c r="M65" s="275">
        <v>2594</v>
      </c>
      <c r="N65" s="286" t="s">
        <v>129</v>
      </c>
      <c r="O65" s="281" t="s">
        <v>52</v>
      </c>
      <c r="P65" s="270" t="s">
        <v>169</v>
      </c>
      <c r="Q65" s="157" t="s">
        <v>84</v>
      </c>
      <c r="R65" s="87" t="s">
        <v>56</v>
      </c>
      <c r="S65" s="235"/>
    </row>
    <row r="66" spans="1:25" s="28" customFormat="1" ht="30" customHeight="1">
      <c r="A66" s="325">
        <f t="shared" si="0"/>
        <v>64</v>
      </c>
      <c r="B66" s="270" t="s">
        <v>180</v>
      </c>
      <c r="C66" s="270" t="s">
        <v>181</v>
      </c>
      <c r="D66" s="270" t="s">
        <v>193</v>
      </c>
      <c r="E66" s="271">
        <v>65591</v>
      </c>
      <c r="F66" s="291">
        <v>274.89999999999998</v>
      </c>
      <c r="G66" s="291">
        <v>47</v>
      </c>
      <c r="H66" s="291">
        <v>6.8</v>
      </c>
      <c r="I66" s="274" t="s">
        <v>237</v>
      </c>
      <c r="J66" s="289">
        <v>0.54166666666666663</v>
      </c>
      <c r="K66" s="274">
        <v>42529</v>
      </c>
      <c r="L66" s="292">
        <v>0.79166666666666663</v>
      </c>
      <c r="M66" s="275">
        <v>2700</v>
      </c>
      <c r="N66" s="286" t="s">
        <v>184</v>
      </c>
      <c r="O66" s="286" t="s">
        <v>68</v>
      </c>
      <c r="P66" s="270" t="s">
        <v>238</v>
      </c>
      <c r="Q66" s="157" t="s">
        <v>239</v>
      </c>
      <c r="R66" s="87" t="s">
        <v>45</v>
      </c>
      <c r="S66" s="235"/>
    </row>
    <row r="67" spans="1:25" s="28" customFormat="1" ht="30" customHeight="1">
      <c r="A67" s="325">
        <f t="shared" ref="A67:A130" si="4">ROW()-2</f>
        <v>65</v>
      </c>
      <c r="B67" s="124" t="s">
        <v>115</v>
      </c>
      <c r="C67" s="124" t="s">
        <v>97</v>
      </c>
      <c r="D67" s="124" t="s">
        <v>116</v>
      </c>
      <c r="E67" s="236">
        <v>115875</v>
      </c>
      <c r="F67" s="237">
        <v>290</v>
      </c>
      <c r="G67" s="237">
        <v>54</v>
      </c>
      <c r="H67" s="237">
        <v>8.5</v>
      </c>
      <c r="I67" s="124" t="s">
        <v>240</v>
      </c>
      <c r="J67" s="125">
        <v>0.33333333333333331</v>
      </c>
      <c r="K67" s="84">
        <v>42530</v>
      </c>
      <c r="L67" s="125">
        <v>0.79166666666666663</v>
      </c>
      <c r="M67" s="155">
        <v>2600</v>
      </c>
      <c r="N67" s="158" t="s">
        <v>68</v>
      </c>
      <c r="O67" s="158" t="s">
        <v>44</v>
      </c>
      <c r="P67" s="124" t="s">
        <v>83</v>
      </c>
      <c r="Q67" s="157" t="s">
        <v>84</v>
      </c>
      <c r="R67" s="87" t="s">
        <v>56</v>
      </c>
      <c r="S67" s="235"/>
      <c r="V67" s="119">
        <v>575092918</v>
      </c>
      <c r="W67" s="119">
        <v>1783109328</v>
      </c>
      <c r="X67" s="120"/>
      <c r="Y67" s="119">
        <v>865385400</v>
      </c>
    </row>
    <row r="68" spans="1:25" s="28" customFormat="1" ht="30" customHeight="1">
      <c r="A68" s="325">
        <f t="shared" si="4"/>
        <v>66</v>
      </c>
      <c r="B68" s="270" t="s">
        <v>195</v>
      </c>
      <c r="C68" s="270" t="s">
        <v>27</v>
      </c>
      <c r="D68" s="270" t="s">
        <v>28</v>
      </c>
      <c r="E68" s="294">
        <v>69472</v>
      </c>
      <c r="F68" s="291">
        <v>264</v>
      </c>
      <c r="G68" s="291">
        <v>50</v>
      </c>
      <c r="H68" s="291">
        <v>8</v>
      </c>
      <c r="I68" s="270" t="s">
        <v>241</v>
      </c>
      <c r="J68" s="273">
        <v>0.33333333333333331</v>
      </c>
      <c r="K68" s="274">
        <v>42532</v>
      </c>
      <c r="L68" s="273">
        <v>0.70833333333333337</v>
      </c>
      <c r="M68" s="275">
        <v>1832</v>
      </c>
      <c r="N68" s="286" t="s">
        <v>174</v>
      </c>
      <c r="O68" s="286" t="s">
        <v>197</v>
      </c>
      <c r="P68" s="270" t="s">
        <v>32</v>
      </c>
      <c r="Q68" s="157" t="s">
        <v>33</v>
      </c>
      <c r="R68" s="124" t="s">
        <v>34</v>
      </c>
      <c r="S68" s="235"/>
      <c r="V68" s="121">
        <f>SUM(V67:Y67)</f>
        <v>3223587646</v>
      </c>
    </row>
    <row r="69" spans="1:25" s="28" customFormat="1" ht="30" customHeight="1">
      <c r="A69" s="325">
        <f t="shared" si="4"/>
        <v>67</v>
      </c>
      <c r="B69" s="280" t="s">
        <v>242</v>
      </c>
      <c r="C69" s="281" t="s">
        <v>206</v>
      </c>
      <c r="D69" s="281" t="s">
        <v>50</v>
      </c>
      <c r="E69" s="282">
        <v>102587</v>
      </c>
      <c r="F69" s="283">
        <v>273</v>
      </c>
      <c r="G69" s="283">
        <v>62</v>
      </c>
      <c r="H69" s="283">
        <v>8.1999999999999993</v>
      </c>
      <c r="I69" s="284" t="s">
        <v>241</v>
      </c>
      <c r="J69" s="285">
        <v>0.33333333333333331</v>
      </c>
      <c r="K69" s="284">
        <v>42532</v>
      </c>
      <c r="L69" s="285">
        <v>0.79166666666666663</v>
      </c>
      <c r="M69" s="275">
        <v>2700</v>
      </c>
      <c r="N69" s="286" t="s">
        <v>44</v>
      </c>
      <c r="O69" s="286" t="s">
        <v>68</v>
      </c>
      <c r="P69" s="276" t="s">
        <v>111</v>
      </c>
      <c r="Q69" s="157" t="s">
        <v>209</v>
      </c>
      <c r="R69" s="124" t="s">
        <v>56</v>
      </c>
      <c r="S69" s="235"/>
      <c r="V69" s="122"/>
    </row>
    <row r="70" spans="1:25" s="28" customFormat="1" ht="30" customHeight="1">
      <c r="A70" s="325">
        <f t="shared" si="4"/>
        <v>68</v>
      </c>
      <c r="B70" s="270" t="s">
        <v>145</v>
      </c>
      <c r="C70" s="270" t="s">
        <v>97</v>
      </c>
      <c r="D70" s="270" t="s">
        <v>146</v>
      </c>
      <c r="E70" s="294">
        <v>115875</v>
      </c>
      <c r="F70" s="291">
        <v>290</v>
      </c>
      <c r="G70" s="291">
        <v>54</v>
      </c>
      <c r="H70" s="291">
        <v>8.5</v>
      </c>
      <c r="I70" s="270" t="s">
        <v>243</v>
      </c>
      <c r="J70" s="273">
        <v>0.60416666666666663</v>
      </c>
      <c r="K70" s="274">
        <v>42533</v>
      </c>
      <c r="L70" s="273">
        <v>0.85416666666666663</v>
      </c>
      <c r="M70" s="275">
        <v>2600</v>
      </c>
      <c r="N70" s="286" t="s">
        <v>244</v>
      </c>
      <c r="O70" s="270" t="s">
        <v>37</v>
      </c>
      <c r="P70" s="270" t="s">
        <v>169</v>
      </c>
      <c r="Q70" s="157" t="s">
        <v>84</v>
      </c>
      <c r="R70" s="124" t="s">
        <v>56</v>
      </c>
      <c r="S70" s="235"/>
      <c r="V70" s="121"/>
    </row>
    <row r="71" spans="1:25" s="28" customFormat="1" ht="30" customHeight="1">
      <c r="A71" s="325">
        <f t="shared" si="4"/>
        <v>69</v>
      </c>
      <c r="B71" s="270" t="s">
        <v>180</v>
      </c>
      <c r="C71" s="270" t="s">
        <v>181</v>
      </c>
      <c r="D71" s="270" t="s">
        <v>193</v>
      </c>
      <c r="E71" s="271">
        <v>65591</v>
      </c>
      <c r="F71" s="291">
        <v>274.89999999999998</v>
      </c>
      <c r="G71" s="291">
        <v>47</v>
      </c>
      <c r="H71" s="291">
        <v>6.8</v>
      </c>
      <c r="I71" s="274" t="s">
        <v>243</v>
      </c>
      <c r="J71" s="289">
        <v>0.41666666666666669</v>
      </c>
      <c r="K71" s="274">
        <v>42533</v>
      </c>
      <c r="L71" s="292">
        <v>0.75</v>
      </c>
      <c r="M71" s="275">
        <v>2700</v>
      </c>
      <c r="N71" s="286" t="s">
        <v>82</v>
      </c>
      <c r="O71" s="286" t="s">
        <v>184</v>
      </c>
      <c r="P71" s="270" t="s">
        <v>238</v>
      </c>
      <c r="Q71" s="157" t="s">
        <v>239</v>
      </c>
      <c r="R71" s="124" t="s">
        <v>45</v>
      </c>
      <c r="S71" s="235"/>
    </row>
    <row r="72" spans="1:25" s="28" customFormat="1" ht="30" customHeight="1">
      <c r="A72" s="325">
        <f t="shared" si="4"/>
        <v>70</v>
      </c>
      <c r="B72" s="124" t="s">
        <v>39</v>
      </c>
      <c r="C72" s="124" t="s">
        <v>40</v>
      </c>
      <c r="D72" s="124" t="s">
        <v>41</v>
      </c>
      <c r="E72" s="157">
        <v>72458</v>
      </c>
      <c r="F72" s="237">
        <v>245</v>
      </c>
      <c r="G72" s="237"/>
      <c r="H72" s="237">
        <v>7.5</v>
      </c>
      <c r="I72" s="84" t="s">
        <v>245</v>
      </c>
      <c r="J72" s="85">
        <v>0.375</v>
      </c>
      <c r="K72" s="84">
        <v>42536</v>
      </c>
      <c r="L72" s="86">
        <v>0.75</v>
      </c>
      <c r="M72" s="151">
        <v>1778</v>
      </c>
      <c r="N72" s="158" t="s">
        <v>68</v>
      </c>
      <c r="O72" s="269" t="s">
        <v>37</v>
      </c>
      <c r="P72" s="124" t="s">
        <v>32</v>
      </c>
      <c r="Q72" s="157" t="s">
        <v>33</v>
      </c>
      <c r="R72" s="124" t="s">
        <v>56</v>
      </c>
      <c r="S72" s="235" t="s">
        <v>246</v>
      </c>
    </row>
    <row r="73" spans="1:25" s="28" customFormat="1" ht="30" customHeight="1">
      <c r="A73" s="325">
        <f t="shared" si="4"/>
        <v>71</v>
      </c>
      <c r="B73" s="124" t="s">
        <v>195</v>
      </c>
      <c r="C73" s="124" t="s">
        <v>27</v>
      </c>
      <c r="D73" s="124" t="s">
        <v>28</v>
      </c>
      <c r="E73" s="236">
        <v>69472</v>
      </c>
      <c r="F73" s="237">
        <v>264</v>
      </c>
      <c r="G73" s="237">
        <v>50</v>
      </c>
      <c r="H73" s="237">
        <v>8</v>
      </c>
      <c r="I73" s="124" t="s">
        <v>247</v>
      </c>
      <c r="J73" s="125">
        <v>0.375</v>
      </c>
      <c r="K73" s="84">
        <v>42548</v>
      </c>
      <c r="L73" s="125">
        <v>0.79166666666666663</v>
      </c>
      <c r="M73" s="155">
        <v>1832</v>
      </c>
      <c r="N73" s="158" t="s">
        <v>197</v>
      </c>
      <c r="O73" s="158" t="s">
        <v>53</v>
      </c>
      <c r="P73" s="87" t="s">
        <v>32</v>
      </c>
      <c r="Q73" s="157" t="s">
        <v>33</v>
      </c>
      <c r="R73" s="124" t="s">
        <v>56</v>
      </c>
      <c r="S73" s="235"/>
    </row>
    <row r="74" spans="1:25" s="28" customFormat="1" ht="30" customHeight="1">
      <c r="A74" s="325">
        <f t="shared" si="4"/>
        <v>72</v>
      </c>
      <c r="B74" s="87" t="s">
        <v>39</v>
      </c>
      <c r="C74" s="87" t="s">
        <v>40</v>
      </c>
      <c r="D74" s="87" t="s">
        <v>41</v>
      </c>
      <c r="E74" s="153">
        <v>72458</v>
      </c>
      <c r="F74" s="241">
        <v>245</v>
      </c>
      <c r="G74" s="241"/>
      <c r="H74" s="241">
        <v>7.5</v>
      </c>
      <c r="I74" s="134" t="s">
        <v>248</v>
      </c>
      <c r="J74" s="203">
        <v>0.375</v>
      </c>
      <c r="K74" s="134">
        <v>42549</v>
      </c>
      <c r="L74" s="135">
        <v>0.75</v>
      </c>
      <c r="M74" s="151">
        <v>1778</v>
      </c>
      <c r="N74" s="154" t="s">
        <v>68</v>
      </c>
      <c r="O74" s="146" t="s">
        <v>53</v>
      </c>
      <c r="P74" s="87" t="s">
        <v>32</v>
      </c>
      <c r="Q74" s="157" t="s">
        <v>33</v>
      </c>
      <c r="R74" s="87" t="s">
        <v>45</v>
      </c>
      <c r="S74" s="235"/>
    </row>
    <row r="75" spans="1:25" s="28" customFormat="1" ht="30" customHeight="1">
      <c r="A75" s="325">
        <f t="shared" si="4"/>
        <v>73</v>
      </c>
      <c r="B75" s="301" t="s">
        <v>66</v>
      </c>
      <c r="C75" s="124" t="s">
        <v>27</v>
      </c>
      <c r="D75" s="124" t="s">
        <v>28</v>
      </c>
      <c r="E75" s="240">
        <v>138279</v>
      </c>
      <c r="F75" s="268">
        <v>311</v>
      </c>
      <c r="G75" s="268">
        <v>63.45</v>
      </c>
      <c r="H75" s="268">
        <v>8.8000000000000007</v>
      </c>
      <c r="I75" s="84" t="s">
        <v>249</v>
      </c>
      <c r="J75" s="85">
        <v>0.375</v>
      </c>
      <c r="K75" s="84">
        <v>42550</v>
      </c>
      <c r="L75" s="125">
        <v>0.79166666666666663</v>
      </c>
      <c r="M75" s="240">
        <v>3114</v>
      </c>
      <c r="N75" s="158" t="s">
        <v>82</v>
      </c>
      <c r="O75" s="269" t="s">
        <v>53</v>
      </c>
      <c r="P75" s="156" t="s">
        <v>32</v>
      </c>
      <c r="Q75" s="157" t="s">
        <v>33</v>
      </c>
      <c r="R75" s="87" t="s">
        <v>56</v>
      </c>
      <c r="S75" s="235"/>
    </row>
    <row r="76" spans="1:25" s="28" customFormat="1" ht="30" customHeight="1" thickBot="1">
      <c r="A76" s="325">
        <f t="shared" si="4"/>
        <v>74</v>
      </c>
      <c r="B76" s="252" t="s">
        <v>250</v>
      </c>
      <c r="C76" s="252" t="s">
        <v>27</v>
      </c>
      <c r="D76" s="252" t="s">
        <v>28</v>
      </c>
      <c r="E76" s="302">
        <v>168700</v>
      </c>
      <c r="F76" s="303">
        <v>348</v>
      </c>
      <c r="G76" s="303">
        <v>62.5</v>
      </c>
      <c r="H76" s="303">
        <v>8.5</v>
      </c>
      <c r="I76" s="252" t="s">
        <v>251</v>
      </c>
      <c r="J76" s="304">
        <v>0.41666666666666669</v>
      </c>
      <c r="K76" s="305">
        <v>42551</v>
      </c>
      <c r="L76" s="304">
        <v>0.75</v>
      </c>
      <c r="M76" s="299">
        <v>4152</v>
      </c>
      <c r="N76" s="300" t="s">
        <v>197</v>
      </c>
      <c r="O76" s="252" t="s">
        <v>37</v>
      </c>
      <c r="P76" s="251" t="s">
        <v>32</v>
      </c>
      <c r="Q76" s="250" t="s">
        <v>33</v>
      </c>
      <c r="R76" s="252" t="s">
        <v>34</v>
      </c>
      <c r="S76" s="253"/>
    </row>
    <row r="77" spans="1:25" s="28" customFormat="1" ht="30" customHeight="1">
      <c r="A77" s="325">
        <f t="shared" si="4"/>
        <v>75</v>
      </c>
      <c r="B77" s="306" t="s">
        <v>242</v>
      </c>
      <c r="C77" s="307" t="s">
        <v>206</v>
      </c>
      <c r="D77" s="307" t="s">
        <v>50</v>
      </c>
      <c r="E77" s="308">
        <v>102587</v>
      </c>
      <c r="F77" s="309">
        <v>273</v>
      </c>
      <c r="G77" s="309">
        <v>62</v>
      </c>
      <c r="H77" s="309">
        <v>8.1999999999999993</v>
      </c>
      <c r="I77" s="312" t="s">
        <v>252</v>
      </c>
      <c r="J77" s="313">
        <v>0.33333333333333331</v>
      </c>
      <c r="K77" s="312">
        <v>42552</v>
      </c>
      <c r="L77" s="313">
        <v>0.79166666666666663</v>
      </c>
      <c r="M77" s="314">
        <v>2700</v>
      </c>
      <c r="N77" s="311" t="s">
        <v>68</v>
      </c>
      <c r="O77" s="311" t="s">
        <v>44</v>
      </c>
      <c r="P77" s="310" t="s">
        <v>111</v>
      </c>
      <c r="Q77" s="261" t="s">
        <v>209</v>
      </c>
      <c r="R77" s="262" t="s">
        <v>34</v>
      </c>
      <c r="S77" s="263"/>
    </row>
    <row r="78" spans="1:25" s="28" customFormat="1" ht="30" customHeight="1">
      <c r="A78" s="325">
        <f t="shared" si="4"/>
        <v>76</v>
      </c>
      <c r="B78" s="280" t="s">
        <v>236</v>
      </c>
      <c r="C78" s="281" t="s">
        <v>97</v>
      </c>
      <c r="D78" s="281" t="s">
        <v>88</v>
      </c>
      <c r="E78" s="282">
        <v>108865</v>
      </c>
      <c r="F78" s="283">
        <v>290</v>
      </c>
      <c r="G78" s="283">
        <v>54</v>
      </c>
      <c r="H78" s="283">
        <v>8.5</v>
      </c>
      <c r="I78" s="284" t="s">
        <v>252</v>
      </c>
      <c r="J78" s="285">
        <v>0.41666666666666669</v>
      </c>
      <c r="K78" s="284">
        <v>42552</v>
      </c>
      <c r="L78" s="285">
        <v>0.79166666666666663</v>
      </c>
      <c r="M78" s="275">
        <v>2594</v>
      </c>
      <c r="N78" s="286" t="s">
        <v>52</v>
      </c>
      <c r="O78" s="281" t="s">
        <v>82</v>
      </c>
      <c r="P78" s="270" t="s">
        <v>169</v>
      </c>
      <c r="Q78" s="157" t="s">
        <v>84</v>
      </c>
      <c r="R78" s="87" t="s">
        <v>56</v>
      </c>
      <c r="S78" s="235"/>
    </row>
    <row r="79" spans="1:25" s="28" customFormat="1" ht="30" customHeight="1">
      <c r="A79" s="325">
        <f t="shared" si="4"/>
        <v>77</v>
      </c>
      <c r="B79" s="124" t="s">
        <v>195</v>
      </c>
      <c r="C79" s="124" t="s">
        <v>27</v>
      </c>
      <c r="D79" s="124" t="s">
        <v>28</v>
      </c>
      <c r="E79" s="236">
        <v>69472</v>
      </c>
      <c r="F79" s="237">
        <v>264</v>
      </c>
      <c r="G79" s="237">
        <v>50</v>
      </c>
      <c r="H79" s="237">
        <v>8</v>
      </c>
      <c r="I79" s="124" t="s">
        <v>253</v>
      </c>
      <c r="J79" s="125">
        <v>0.29166666666666669</v>
      </c>
      <c r="K79" s="84">
        <v>42554</v>
      </c>
      <c r="L79" s="125">
        <v>0.70833333333333337</v>
      </c>
      <c r="M79" s="155">
        <v>1832</v>
      </c>
      <c r="N79" s="158" t="s">
        <v>174</v>
      </c>
      <c r="O79" s="158" t="s">
        <v>68</v>
      </c>
      <c r="P79" s="87" t="s">
        <v>32</v>
      </c>
      <c r="Q79" s="157" t="s">
        <v>33</v>
      </c>
      <c r="R79" s="124" t="s">
        <v>56</v>
      </c>
      <c r="S79" s="235"/>
    </row>
    <row r="80" spans="1:25" s="28" customFormat="1" ht="30" customHeight="1">
      <c r="A80" s="325">
        <f t="shared" si="4"/>
        <v>78</v>
      </c>
      <c r="B80" s="124" t="s">
        <v>145</v>
      </c>
      <c r="C80" s="124" t="s">
        <v>97</v>
      </c>
      <c r="D80" s="124" t="s">
        <v>146</v>
      </c>
      <c r="E80" s="236">
        <v>115875</v>
      </c>
      <c r="F80" s="237">
        <v>290</v>
      </c>
      <c r="G80" s="148">
        <v>54</v>
      </c>
      <c r="H80" s="148">
        <v>8.5</v>
      </c>
      <c r="I80" s="124" t="s">
        <v>254</v>
      </c>
      <c r="J80" s="125">
        <v>0.58333333333333337</v>
      </c>
      <c r="K80" s="84">
        <v>42556</v>
      </c>
      <c r="L80" s="125">
        <v>0.83333333333333337</v>
      </c>
      <c r="M80" s="155">
        <v>2600</v>
      </c>
      <c r="N80" s="154" t="s">
        <v>255</v>
      </c>
      <c r="O80" s="87" t="s">
        <v>37</v>
      </c>
      <c r="P80" s="124" t="s">
        <v>169</v>
      </c>
      <c r="Q80" s="157" t="s">
        <v>84</v>
      </c>
      <c r="R80" s="87" t="s">
        <v>56</v>
      </c>
      <c r="S80" s="235"/>
    </row>
    <row r="81" spans="1:19" s="28" customFormat="1" ht="30" customHeight="1">
      <c r="A81" s="325">
        <f t="shared" si="4"/>
        <v>79</v>
      </c>
      <c r="B81" s="124" t="s">
        <v>250</v>
      </c>
      <c r="C81" s="124" t="s">
        <v>27</v>
      </c>
      <c r="D81" s="124" t="s">
        <v>28</v>
      </c>
      <c r="E81" s="236">
        <v>167800</v>
      </c>
      <c r="F81" s="237">
        <v>348</v>
      </c>
      <c r="G81" s="237">
        <v>62.5</v>
      </c>
      <c r="H81" s="237">
        <v>8.5</v>
      </c>
      <c r="I81" s="124" t="s">
        <v>256</v>
      </c>
      <c r="J81" s="125">
        <v>0.25</v>
      </c>
      <c r="K81" s="84">
        <v>42557</v>
      </c>
      <c r="L81" s="125">
        <v>0.66666666666666663</v>
      </c>
      <c r="M81" s="155">
        <v>4152</v>
      </c>
      <c r="N81" s="158" t="s">
        <v>164</v>
      </c>
      <c r="O81" s="124" t="s">
        <v>257</v>
      </c>
      <c r="P81" s="156" t="s">
        <v>32</v>
      </c>
      <c r="Q81" s="157" t="s">
        <v>33</v>
      </c>
      <c r="R81" s="87" t="s">
        <v>34</v>
      </c>
      <c r="S81" s="235"/>
    </row>
    <row r="82" spans="1:19" s="28" customFormat="1" ht="30" customHeight="1">
      <c r="A82" s="325">
        <f t="shared" si="4"/>
        <v>80</v>
      </c>
      <c r="B82" s="124" t="s">
        <v>250</v>
      </c>
      <c r="C82" s="124" t="s">
        <v>27</v>
      </c>
      <c r="D82" s="124" t="s">
        <v>28</v>
      </c>
      <c r="E82" s="236">
        <v>167800</v>
      </c>
      <c r="F82" s="237">
        <v>348</v>
      </c>
      <c r="G82" s="237">
        <v>62.5</v>
      </c>
      <c r="H82" s="237">
        <v>8.5</v>
      </c>
      <c r="I82" s="124" t="s">
        <v>258</v>
      </c>
      <c r="J82" s="125">
        <v>0.41666666666666669</v>
      </c>
      <c r="K82" s="84">
        <v>42561</v>
      </c>
      <c r="L82" s="125">
        <v>0.75</v>
      </c>
      <c r="M82" s="155">
        <v>4152</v>
      </c>
      <c r="N82" s="158" t="s">
        <v>257</v>
      </c>
      <c r="O82" s="124" t="s">
        <v>37</v>
      </c>
      <c r="P82" s="156" t="s">
        <v>32</v>
      </c>
      <c r="Q82" s="157" t="s">
        <v>33</v>
      </c>
      <c r="R82" s="87" t="s">
        <v>34</v>
      </c>
      <c r="S82" s="235" t="s">
        <v>259</v>
      </c>
    </row>
    <row r="83" spans="1:19" s="28" customFormat="1" ht="30" customHeight="1">
      <c r="A83" s="325">
        <f t="shared" si="4"/>
        <v>81</v>
      </c>
      <c r="B83" s="270" t="s">
        <v>26</v>
      </c>
      <c r="C83" s="270" t="s">
        <v>27</v>
      </c>
      <c r="D83" s="270" t="s">
        <v>28</v>
      </c>
      <c r="E83" s="294">
        <v>167800</v>
      </c>
      <c r="F83" s="291">
        <v>348</v>
      </c>
      <c r="G83" s="283">
        <v>62.5</v>
      </c>
      <c r="H83" s="283">
        <v>8.5</v>
      </c>
      <c r="I83" s="270" t="s">
        <v>260</v>
      </c>
      <c r="J83" s="273">
        <v>0.29166666666666669</v>
      </c>
      <c r="K83" s="274">
        <v>42562</v>
      </c>
      <c r="L83" s="273">
        <v>0.75</v>
      </c>
      <c r="M83" s="275">
        <v>4152</v>
      </c>
      <c r="N83" s="286" t="s">
        <v>235</v>
      </c>
      <c r="O83" s="286" t="s">
        <v>164</v>
      </c>
      <c r="P83" s="276" t="s">
        <v>32</v>
      </c>
      <c r="Q83" s="157" t="s">
        <v>33</v>
      </c>
      <c r="R83" s="87" t="s">
        <v>34</v>
      </c>
      <c r="S83" s="235"/>
    </row>
    <row r="84" spans="1:19" s="28" customFormat="1" ht="30" customHeight="1">
      <c r="A84" s="325">
        <f t="shared" si="4"/>
        <v>82</v>
      </c>
      <c r="B84" s="280" t="s">
        <v>236</v>
      </c>
      <c r="C84" s="281" t="s">
        <v>97</v>
      </c>
      <c r="D84" s="281" t="s">
        <v>88</v>
      </c>
      <c r="E84" s="282">
        <v>108865</v>
      </c>
      <c r="F84" s="283">
        <v>290</v>
      </c>
      <c r="G84" s="283">
        <v>54</v>
      </c>
      <c r="H84" s="283">
        <v>8.5</v>
      </c>
      <c r="I84" s="284" t="s">
        <v>261</v>
      </c>
      <c r="J84" s="285">
        <v>0.41666666666666669</v>
      </c>
      <c r="K84" s="284">
        <v>42562</v>
      </c>
      <c r="L84" s="285">
        <v>0.75</v>
      </c>
      <c r="M84" s="275">
        <v>2594</v>
      </c>
      <c r="N84" s="286" t="s">
        <v>52</v>
      </c>
      <c r="O84" s="281" t="s">
        <v>68</v>
      </c>
      <c r="P84" s="270" t="s">
        <v>169</v>
      </c>
      <c r="Q84" s="157" t="s">
        <v>84</v>
      </c>
      <c r="R84" s="87" t="s">
        <v>56</v>
      </c>
      <c r="S84" s="235"/>
    </row>
    <row r="85" spans="1:19" s="28" customFormat="1" ht="30" customHeight="1">
      <c r="A85" s="325">
        <f t="shared" si="4"/>
        <v>83</v>
      </c>
      <c r="B85" s="124" t="s">
        <v>180</v>
      </c>
      <c r="C85" s="124" t="s">
        <v>181</v>
      </c>
      <c r="D85" s="124" t="s">
        <v>193</v>
      </c>
      <c r="E85" s="157">
        <v>65591</v>
      </c>
      <c r="F85" s="237">
        <v>274.89999999999998</v>
      </c>
      <c r="G85" s="237">
        <v>47</v>
      </c>
      <c r="H85" s="237">
        <v>6.8</v>
      </c>
      <c r="I85" s="84" t="s">
        <v>262</v>
      </c>
      <c r="J85" s="85">
        <v>0.41666666666666669</v>
      </c>
      <c r="K85" s="84">
        <v>42563</v>
      </c>
      <c r="L85" s="86">
        <v>0.75</v>
      </c>
      <c r="M85" s="155">
        <v>2700</v>
      </c>
      <c r="N85" s="158" t="s">
        <v>82</v>
      </c>
      <c r="O85" s="158" t="s">
        <v>44</v>
      </c>
      <c r="P85" s="124" t="s">
        <v>238</v>
      </c>
      <c r="Q85" s="157" t="s">
        <v>239</v>
      </c>
      <c r="R85" s="87" t="s">
        <v>45</v>
      </c>
      <c r="S85" s="235"/>
    </row>
    <row r="86" spans="1:19" s="28" customFormat="1" ht="30" customHeight="1">
      <c r="A86" s="325">
        <f t="shared" si="4"/>
        <v>84</v>
      </c>
      <c r="B86" s="124" t="s">
        <v>115</v>
      </c>
      <c r="C86" s="124" t="s">
        <v>97</v>
      </c>
      <c r="D86" s="124" t="s">
        <v>116</v>
      </c>
      <c r="E86" s="236">
        <v>115875</v>
      </c>
      <c r="F86" s="241">
        <v>290</v>
      </c>
      <c r="G86" s="241">
        <v>54</v>
      </c>
      <c r="H86" s="241">
        <v>8.5</v>
      </c>
      <c r="I86" s="87" t="s">
        <v>263</v>
      </c>
      <c r="J86" s="133">
        <v>0.33333333333333331</v>
      </c>
      <c r="K86" s="134">
        <v>42564</v>
      </c>
      <c r="L86" s="133">
        <v>0.79166666666666663</v>
      </c>
      <c r="M86" s="151">
        <v>2600</v>
      </c>
      <c r="N86" s="154" t="s">
        <v>44</v>
      </c>
      <c r="O86" s="154" t="s">
        <v>129</v>
      </c>
      <c r="P86" s="124" t="s">
        <v>83</v>
      </c>
      <c r="Q86" s="157" t="s">
        <v>84</v>
      </c>
      <c r="R86" s="87" t="s">
        <v>56</v>
      </c>
      <c r="S86" s="235"/>
    </row>
    <row r="87" spans="1:19" s="28" customFormat="1" ht="30" customHeight="1">
      <c r="A87" s="325">
        <f t="shared" si="4"/>
        <v>85</v>
      </c>
      <c r="B87" s="124" t="s">
        <v>264</v>
      </c>
      <c r="C87" s="124" t="s">
        <v>97</v>
      </c>
      <c r="D87" s="124" t="s">
        <v>116</v>
      </c>
      <c r="E87" s="236">
        <v>77441</v>
      </c>
      <c r="F87" s="241">
        <v>262</v>
      </c>
      <c r="G87" s="241"/>
      <c r="H87" s="241"/>
      <c r="I87" s="87" t="s">
        <v>265</v>
      </c>
      <c r="J87" s="133">
        <v>0.25</v>
      </c>
      <c r="K87" s="134">
        <v>42566</v>
      </c>
      <c r="L87" s="133">
        <v>0.70833333333333337</v>
      </c>
      <c r="M87" s="151"/>
      <c r="N87" s="158" t="s">
        <v>52</v>
      </c>
      <c r="O87" s="154" t="s">
        <v>266</v>
      </c>
      <c r="P87" s="124" t="s">
        <v>83</v>
      </c>
      <c r="Q87" s="157" t="s">
        <v>84</v>
      </c>
      <c r="R87" s="87" t="s">
        <v>56</v>
      </c>
      <c r="S87" s="235"/>
    </row>
    <row r="88" spans="1:19" s="28" customFormat="1" ht="30" customHeight="1">
      <c r="A88" s="325">
        <f t="shared" si="4"/>
        <v>86</v>
      </c>
      <c r="B88" s="280" t="s">
        <v>236</v>
      </c>
      <c r="C88" s="281" t="s">
        <v>97</v>
      </c>
      <c r="D88" s="281" t="s">
        <v>88</v>
      </c>
      <c r="E88" s="282">
        <v>108865</v>
      </c>
      <c r="F88" s="283">
        <v>290</v>
      </c>
      <c r="G88" s="283">
        <v>54</v>
      </c>
      <c r="H88" s="283">
        <v>8.5</v>
      </c>
      <c r="I88" s="274" t="s">
        <v>267</v>
      </c>
      <c r="J88" s="289">
        <v>0.41666666666666669</v>
      </c>
      <c r="K88" s="274">
        <v>42567</v>
      </c>
      <c r="L88" s="292">
        <v>0.79166666666666663</v>
      </c>
      <c r="M88" s="275">
        <v>2594</v>
      </c>
      <c r="N88" s="286" t="s">
        <v>52</v>
      </c>
      <c r="O88" s="281" t="s">
        <v>68</v>
      </c>
      <c r="P88" s="270" t="s">
        <v>169</v>
      </c>
      <c r="Q88" s="157" t="s">
        <v>84</v>
      </c>
      <c r="R88" s="87" t="s">
        <v>56</v>
      </c>
      <c r="S88" s="235"/>
    </row>
    <row r="89" spans="1:19" s="28" customFormat="1" ht="30" customHeight="1">
      <c r="A89" s="325">
        <f t="shared" si="4"/>
        <v>87</v>
      </c>
      <c r="B89" s="270" t="s">
        <v>180</v>
      </c>
      <c r="C89" s="270" t="s">
        <v>181</v>
      </c>
      <c r="D89" s="270" t="s">
        <v>193</v>
      </c>
      <c r="E89" s="271">
        <v>65591</v>
      </c>
      <c r="F89" s="291">
        <v>274.89999999999998</v>
      </c>
      <c r="G89" s="291">
        <v>47</v>
      </c>
      <c r="H89" s="291">
        <v>6.8</v>
      </c>
      <c r="I89" s="274" t="s">
        <v>267</v>
      </c>
      <c r="J89" s="289">
        <v>0.41666666666666669</v>
      </c>
      <c r="K89" s="274">
        <v>42567</v>
      </c>
      <c r="L89" s="292">
        <v>0.75</v>
      </c>
      <c r="M89" s="275">
        <v>2700</v>
      </c>
      <c r="N89" s="286" t="s">
        <v>82</v>
      </c>
      <c r="O89" s="286" t="s">
        <v>44</v>
      </c>
      <c r="P89" s="270" t="s">
        <v>238</v>
      </c>
      <c r="Q89" s="157" t="s">
        <v>239</v>
      </c>
      <c r="R89" s="87" t="s">
        <v>45</v>
      </c>
      <c r="S89" s="235"/>
    </row>
    <row r="90" spans="1:19" s="28" customFormat="1" ht="30" customHeight="1">
      <c r="A90" s="325">
        <f t="shared" si="4"/>
        <v>88</v>
      </c>
      <c r="B90" s="87" t="s">
        <v>268</v>
      </c>
      <c r="C90" s="87" t="s">
        <v>206</v>
      </c>
      <c r="D90" s="87" t="s">
        <v>269</v>
      </c>
      <c r="E90" s="153">
        <v>75166</v>
      </c>
      <c r="F90" s="241">
        <v>252.37</v>
      </c>
      <c r="G90" s="148">
        <v>51.4</v>
      </c>
      <c r="H90" s="241">
        <v>8</v>
      </c>
      <c r="I90" s="134" t="s">
        <v>270</v>
      </c>
      <c r="J90" s="203">
        <v>0.41666666666666669</v>
      </c>
      <c r="K90" s="134">
        <v>42568</v>
      </c>
      <c r="L90" s="135">
        <v>0.79166666666666663</v>
      </c>
      <c r="M90" s="151">
        <v>1928</v>
      </c>
      <c r="N90" s="154" t="s">
        <v>271</v>
      </c>
      <c r="O90" s="154" t="s">
        <v>37</v>
      </c>
      <c r="P90" s="87" t="s">
        <v>54</v>
      </c>
      <c r="Q90" s="157" t="s">
        <v>272</v>
      </c>
      <c r="R90" s="87" t="s">
        <v>45</v>
      </c>
      <c r="S90" s="235"/>
    </row>
    <row r="91" spans="1:19" s="28" customFormat="1" ht="30" customHeight="1">
      <c r="A91" s="325">
        <f t="shared" si="4"/>
        <v>89</v>
      </c>
      <c r="B91" s="345" t="s">
        <v>145</v>
      </c>
      <c r="C91" s="345" t="s">
        <v>97</v>
      </c>
      <c r="D91" s="345" t="s">
        <v>146</v>
      </c>
      <c r="E91" s="346">
        <v>115875</v>
      </c>
      <c r="F91" s="347" t="s">
        <v>273</v>
      </c>
      <c r="G91" s="347">
        <v>54</v>
      </c>
      <c r="H91" s="347">
        <v>8.5</v>
      </c>
      <c r="I91" s="345" t="s">
        <v>274</v>
      </c>
      <c r="J91" s="375">
        <v>0.375</v>
      </c>
      <c r="K91" s="376">
        <v>42572</v>
      </c>
      <c r="L91" s="375">
        <v>0.75</v>
      </c>
      <c r="M91" s="374">
        <v>2600</v>
      </c>
      <c r="N91" s="345" t="s">
        <v>37</v>
      </c>
      <c r="O91" s="344" t="s">
        <v>275</v>
      </c>
      <c r="P91" s="345" t="s">
        <v>169</v>
      </c>
      <c r="Q91" s="157" t="s">
        <v>84</v>
      </c>
      <c r="R91" s="87" t="s">
        <v>56</v>
      </c>
      <c r="S91" s="235"/>
    </row>
    <row r="92" spans="1:19" s="28" customFormat="1" ht="30" customHeight="1">
      <c r="A92" s="325">
        <f t="shared" si="4"/>
        <v>90</v>
      </c>
      <c r="B92" s="345" t="s">
        <v>250</v>
      </c>
      <c r="C92" s="345" t="s">
        <v>27</v>
      </c>
      <c r="D92" s="345" t="s">
        <v>28</v>
      </c>
      <c r="E92" s="346">
        <v>168700</v>
      </c>
      <c r="F92" s="347">
        <v>348</v>
      </c>
      <c r="G92" s="347">
        <v>62.5</v>
      </c>
      <c r="H92" s="347">
        <v>8.5</v>
      </c>
      <c r="I92" s="345" t="s">
        <v>274</v>
      </c>
      <c r="J92" s="375">
        <v>0.33333333333333331</v>
      </c>
      <c r="K92" s="376">
        <v>42572</v>
      </c>
      <c r="L92" s="375">
        <v>0.70833333333333337</v>
      </c>
      <c r="M92" s="374">
        <v>4152</v>
      </c>
      <c r="N92" s="344" t="s">
        <v>276</v>
      </c>
      <c r="O92" s="345" t="s">
        <v>257</v>
      </c>
      <c r="P92" s="342" t="s">
        <v>32</v>
      </c>
      <c r="Q92" s="157" t="s">
        <v>33</v>
      </c>
      <c r="R92" s="87" t="s">
        <v>34</v>
      </c>
      <c r="S92" s="235"/>
    </row>
    <row r="93" spans="1:19" s="28" customFormat="1" ht="30" customHeight="1">
      <c r="A93" s="325">
        <f t="shared" si="4"/>
        <v>91</v>
      </c>
      <c r="B93" s="124" t="s">
        <v>250</v>
      </c>
      <c r="C93" s="124" t="s">
        <v>27</v>
      </c>
      <c r="D93" s="124" t="s">
        <v>28</v>
      </c>
      <c r="E93" s="236">
        <v>168700</v>
      </c>
      <c r="F93" s="237">
        <v>348</v>
      </c>
      <c r="G93" s="237">
        <v>62.5</v>
      </c>
      <c r="H93" s="237">
        <v>8.5</v>
      </c>
      <c r="I93" s="124" t="s">
        <v>277</v>
      </c>
      <c r="J93" s="125">
        <v>0.41666666666666669</v>
      </c>
      <c r="K93" s="84">
        <v>42576</v>
      </c>
      <c r="L93" s="125">
        <v>0.83333333333333337</v>
      </c>
      <c r="M93" s="155">
        <v>4152</v>
      </c>
      <c r="N93" s="158" t="s">
        <v>197</v>
      </c>
      <c r="O93" s="124" t="s">
        <v>53</v>
      </c>
      <c r="P93" s="156" t="s">
        <v>32</v>
      </c>
      <c r="Q93" s="157" t="s">
        <v>33</v>
      </c>
      <c r="R93" s="87" t="s">
        <v>34</v>
      </c>
      <c r="S93" s="235"/>
    </row>
    <row r="94" spans="1:19" s="28" customFormat="1" ht="30" customHeight="1">
      <c r="A94" s="325">
        <f t="shared" si="4"/>
        <v>92</v>
      </c>
      <c r="B94" s="287" t="s">
        <v>66</v>
      </c>
      <c r="C94" s="270" t="s">
        <v>27</v>
      </c>
      <c r="D94" s="270" t="s">
        <v>28</v>
      </c>
      <c r="E94" s="288">
        <v>138279</v>
      </c>
      <c r="F94" s="283">
        <v>311</v>
      </c>
      <c r="G94" s="283">
        <v>63.45</v>
      </c>
      <c r="H94" s="283">
        <v>8.8000000000000007</v>
      </c>
      <c r="I94" s="274" t="s">
        <v>278</v>
      </c>
      <c r="J94" s="289">
        <v>0.29166666666666669</v>
      </c>
      <c r="K94" s="274">
        <v>42577</v>
      </c>
      <c r="L94" s="273">
        <v>0.70833333333333337</v>
      </c>
      <c r="M94" s="288">
        <v>3114</v>
      </c>
      <c r="N94" s="286" t="s">
        <v>44</v>
      </c>
      <c r="O94" s="281" t="s">
        <v>37</v>
      </c>
      <c r="P94" s="276" t="s">
        <v>32</v>
      </c>
      <c r="Q94" s="157" t="s">
        <v>33</v>
      </c>
      <c r="R94" s="87" t="s">
        <v>56</v>
      </c>
      <c r="S94" s="235"/>
    </row>
    <row r="95" spans="1:19" s="28" customFormat="1" ht="30" customHeight="1">
      <c r="A95" s="325">
        <f t="shared" si="4"/>
        <v>93</v>
      </c>
      <c r="B95" s="280" t="s">
        <v>236</v>
      </c>
      <c r="C95" s="281" t="s">
        <v>97</v>
      </c>
      <c r="D95" s="281" t="s">
        <v>88</v>
      </c>
      <c r="E95" s="282">
        <v>108865</v>
      </c>
      <c r="F95" s="283">
        <v>290</v>
      </c>
      <c r="G95" s="283">
        <v>54</v>
      </c>
      <c r="H95" s="283">
        <v>8.5</v>
      </c>
      <c r="I95" s="284" t="s">
        <v>278</v>
      </c>
      <c r="J95" s="285">
        <v>0.41666666666666669</v>
      </c>
      <c r="K95" s="284">
        <v>42577</v>
      </c>
      <c r="L95" s="285">
        <v>0.79166666666666663</v>
      </c>
      <c r="M95" s="275">
        <v>2594</v>
      </c>
      <c r="N95" s="286" t="s">
        <v>52</v>
      </c>
      <c r="O95" s="281" t="s">
        <v>68</v>
      </c>
      <c r="P95" s="270" t="s">
        <v>169</v>
      </c>
      <c r="Q95" s="157" t="s">
        <v>84</v>
      </c>
      <c r="R95" s="87" t="s">
        <v>34</v>
      </c>
      <c r="S95" s="235"/>
    </row>
    <row r="96" spans="1:19" s="28" customFormat="1" ht="30" customHeight="1">
      <c r="A96" s="325">
        <f t="shared" si="4"/>
        <v>94</v>
      </c>
      <c r="B96" s="87" t="s">
        <v>279</v>
      </c>
      <c r="C96" s="87" t="s">
        <v>158</v>
      </c>
      <c r="D96" s="87" t="s">
        <v>159</v>
      </c>
      <c r="E96" s="153">
        <v>75166</v>
      </c>
      <c r="F96" s="241">
        <v>252.37</v>
      </c>
      <c r="G96" s="148">
        <v>51.4</v>
      </c>
      <c r="H96" s="148">
        <v>8</v>
      </c>
      <c r="I96" s="134" t="s">
        <v>280</v>
      </c>
      <c r="J96" s="203">
        <v>0.33333333333333331</v>
      </c>
      <c r="K96" s="134">
        <v>42580</v>
      </c>
      <c r="L96" s="135">
        <v>0.79166666666666663</v>
      </c>
      <c r="M96" s="151">
        <v>1928</v>
      </c>
      <c r="N96" s="154" t="s">
        <v>281</v>
      </c>
      <c r="O96" s="146" t="s">
        <v>217</v>
      </c>
      <c r="P96" s="87" t="s">
        <v>111</v>
      </c>
      <c r="Q96" s="157" t="s">
        <v>55</v>
      </c>
      <c r="R96" s="87" t="s">
        <v>45</v>
      </c>
      <c r="S96" s="235" t="s">
        <v>282</v>
      </c>
    </row>
    <row r="97" spans="1:19" s="28" customFormat="1" ht="30" customHeight="1">
      <c r="A97" s="325">
        <f t="shared" si="4"/>
        <v>95</v>
      </c>
      <c r="B97" s="270" t="s">
        <v>250</v>
      </c>
      <c r="C97" s="270" t="s">
        <v>27</v>
      </c>
      <c r="D97" s="270" t="s">
        <v>28</v>
      </c>
      <c r="E97" s="294">
        <v>168700</v>
      </c>
      <c r="F97" s="291">
        <v>348</v>
      </c>
      <c r="G97" s="291">
        <v>62.5</v>
      </c>
      <c r="H97" s="291">
        <v>8.5</v>
      </c>
      <c r="I97" s="270" t="s">
        <v>283</v>
      </c>
      <c r="J97" s="273">
        <v>0.39583333333333331</v>
      </c>
      <c r="K97" s="274">
        <v>42581</v>
      </c>
      <c r="L97" s="273">
        <v>0.6875</v>
      </c>
      <c r="M97" s="275">
        <v>4152</v>
      </c>
      <c r="N97" s="286" t="s">
        <v>197</v>
      </c>
      <c r="O97" s="270" t="s">
        <v>197</v>
      </c>
      <c r="P97" s="276" t="s">
        <v>32</v>
      </c>
      <c r="Q97" s="157" t="s">
        <v>33</v>
      </c>
      <c r="R97" s="124" t="s">
        <v>34</v>
      </c>
      <c r="S97" s="235"/>
    </row>
    <row r="98" spans="1:19" s="28" customFormat="1" ht="30" customHeight="1">
      <c r="A98" s="325">
        <f t="shared" si="4"/>
        <v>96</v>
      </c>
      <c r="B98" s="270" t="s">
        <v>104</v>
      </c>
      <c r="C98" s="270" t="s">
        <v>284</v>
      </c>
      <c r="D98" s="270"/>
      <c r="E98" s="294">
        <v>35260</v>
      </c>
      <c r="F98" s="291">
        <v>205</v>
      </c>
      <c r="G98" s="291"/>
      <c r="H98" s="291"/>
      <c r="I98" s="270" t="s">
        <v>283</v>
      </c>
      <c r="J98" s="273">
        <v>0.29166666666666669</v>
      </c>
      <c r="K98" s="274">
        <v>42581</v>
      </c>
      <c r="L98" s="273">
        <v>0.79166666666666663</v>
      </c>
      <c r="M98" s="275">
        <v>1422</v>
      </c>
      <c r="N98" s="286" t="s">
        <v>129</v>
      </c>
      <c r="O98" s="270" t="s">
        <v>109</v>
      </c>
      <c r="P98" s="276" t="s">
        <v>238</v>
      </c>
      <c r="Q98" s="157" t="s">
        <v>239</v>
      </c>
      <c r="R98" s="124" t="s">
        <v>45</v>
      </c>
      <c r="S98" s="235" t="s">
        <v>285</v>
      </c>
    </row>
    <row r="99" spans="1:19" s="28" customFormat="1" ht="30" customHeight="1" thickBot="1">
      <c r="A99" s="325">
        <f t="shared" si="4"/>
        <v>97</v>
      </c>
      <c r="B99" s="315" t="s">
        <v>236</v>
      </c>
      <c r="C99" s="316" t="s">
        <v>97</v>
      </c>
      <c r="D99" s="316" t="s">
        <v>88</v>
      </c>
      <c r="E99" s="317">
        <v>108865</v>
      </c>
      <c r="F99" s="318">
        <v>290</v>
      </c>
      <c r="G99" s="318">
        <v>54</v>
      </c>
      <c r="H99" s="318">
        <v>8.5</v>
      </c>
      <c r="I99" s="322" t="s">
        <v>286</v>
      </c>
      <c r="J99" s="323">
        <v>0.41666666666666669</v>
      </c>
      <c r="K99" s="322">
        <v>42583</v>
      </c>
      <c r="L99" s="323">
        <v>0.79166666666666663</v>
      </c>
      <c r="M99" s="324">
        <v>2594</v>
      </c>
      <c r="N99" s="319" t="s">
        <v>52</v>
      </c>
      <c r="O99" s="316" t="s">
        <v>68</v>
      </c>
      <c r="P99" s="320" t="s">
        <v>169</v>
      </c>
      <c r="Q99" s="250" t="s">
        <v>84</v>
      </c>
      <c r="R99" s="321" t="s">
        <v>56</v>
      </c>
      <c r="S99" s="253"/>
    </row>
    <row r="100" spans="1:19" s="28" customFormat="1" ht="30" customHeight="1">
      <c r="A100" s="325">
        <f t="shared" si="4"/>
        <v>98</v>
      </c>
      <c r="B100" s="127" t="s">
        <v>115</v>
      </c>
      <c r="C100" s="127" t="s">
        <v>97</v>
      </c>
      <c r="D100" s="127" t="s">
        <v>116</v>
      </c>
      <c r="E100" s="278">
        <v>115875</v>
      </c>
      <c r="F100" s="279">
        <v>290</v>
      </c>
      <c r="G100" s="279">
        <v>54</v>
      </c>
      <c r="H100" s="279">
        <v>8.5</v>
      </c>
      <c r="I100" s="127" t="s">
        <v>287</v>
      </c>
      <c r="J100" s="128">
        <v>0.33333333333333331</v>
      </c>
      <c r="K100" s="129">
        <v>42583</v>
      </c>
      <c r="L100" s="128">
        <v>0.79166666666666663</v>
      </c>
      <c r="M100" s="238">
        <v>2600</v>
      </c>
      <c r="N100" s="355" t="s">
        <v>82</v>
      </c>
      <c r="O100" s="143" t="s">
        <v>129</v>
      </c>
      <c r="P100" s="127" t="s">
        <v>83</v>
      </c>
      <c r="Q100" s="261" t="s">
        <v>84</v>
      </c>
      <c r="R100" s="127" t="s">
        <v>34</v>
      </c>
      <c r="S100" s="263"/>
    </row>
    <row r="101" spans="1:19" s="28" customFormat="1" ht="30" customHeight="1">
      <c r="A101" s="325">
        <f t="shared" si="4"/>
        <v>99</v>
      </c>
      <c r="B101" s="295" t="s">
        <v>242</v>
      </c>
      <c r="C101" s="269" t="s">
        <v>206</v>
      </c>
      <c r="D101" s="269" t="s">
        <v>50</v>
      </c>
      <c r="E101" s="296">
        <v>102587</v>
      </c>
      <c r="F101" s="268">
        <v>273</v>
      </c>
      <c r="G101" s="268">
        <v>62</v>
      </c>
      <c r="H101" s="268">
        <v>8.1999999999999993</v>
      </c>
      <c r="I101" s="297" t="s">
        <v>288</v>
      </c>
      <c r="J101" s="298">
        <v>0.33333333333333331</v>
      </c>
      <c r="K101" s="297">
        <v>42584</v>
      </c>
      <c r="L101" s="298">
        <v>0.79166666666666663</v>
      </c>
      <c r="M101" s="155">
        <v>2700</v>
      </c>
      <c r="N101" s="158" t="s">
        <v>68</v>
      </c>
      <c r="O101" s="158" t="s">
        <v>53</v>
      </c>
      <c r="P101" s="156" t="s">
        <v>111</v>
      </c>
      <c r="Q101" s="157" t="s">
        <v>209</v>
      </c>
      <c r="R101" s="124" t="s">
        <v>56</v>
      </c>
      <c r="S101" s="235"/>
    </row>
    <row r="102" spans="1:19" s="28" customFormat="1" ht="30" customHeight="1">
      <c r="A102" s="325">
        <f t="shared" si="4"/>
        <v>100</v>
      </c>
      <c r="B102" s="280" t="s">
        <v>205</v>
      </c>
      <c r="C102" s="281" t="s">
        <v>206</v>
      </c>
      <c r="D102" s="281" t="s">
        <v>50</v>
      </c>
      <c r="E102" s="282">
        <v>75166</v>
      </c>
      <c r="F102" s="283">
        <v>252.37</v>
      </c>
      <c r="G102" s="283">
        <v>51.4</v>
      </c>
      <c r="H102" s="283">
        <v>8</v>
      </c>
      <c r="I102" s="284" t="s">
        <v>289</v>
      </c>
      <c r="J102" s="285">
        <v>0.33333333333333331</v>
      </c>
      <c r="K102" s="284">
        <v>42585</v>
      </c>
      <c r="L102" s="285">
        <v>0.79166666666666663</v>
      </c>
      <c r="M102" s="275">
        <v>1928</v>
      </c>
      <c r="N102" s="286" t="s">
        <v>281</v>
      </c>
      <c r="O102" s="286" t="s">
        <v>217</v>
      </c>
      <c r="P102" s="276" t="s">
        <v>111</v>
      </c>
      <c r="Q102" s="157" t="s">
        <v>55</v>
      </c>
      <c r="R102" s="124" t="s">
        <v>45</v>
      </c>
      <c r="S102" s="235" t="s">
        <v>282</v>
      </c>
    </row>
    <row r="103" spans="1:19" s="28" customFormat="1" ht="30" customHeight="1">
      <c r="A103" s="325">
        <f t="shared" si="4"/>
        <v>101</v>
      </c>
      <c r="B103" s="270" t="s">
        <v>250</v>
      </c>
      <c r="C103" s="270" t="s">
        <v>27</v>
      </c>
      <c r="D103" s="270" t="s">
        <v>28</v>
      </c>
      <c r="E103" s="294">
        <v>168700</v>
      </c>
      <c r="F103" s="291">
        <v>348</v>
      </c>
      <c r="G103" s="291">
        <v>62.5</v>
      </c>
      <c r="H103" s="291">
        <v>8.5</v>
      </c>
      <c r="I103" s="270" t="s">
        <v>289</v>
      </c>
      <c r="J103" s="273">
        <v>0.41666666666666669</v>
      </c>
      <c r="K103" s="274">
        <v>42585</v>
      </c>
      <c r="L103" s="273">
        <v>0.75</v>
      </c>
      <c r="M103" s="275">
        <v>4152</v>
      </c>
      <c r="N103" s="286" t="s">
        <v>197</v>
      </c>
      <c r="O103" s="270" t="s">
        <v>37</v>
      </c>
      <c r="P103" s="276" t="s">
        <v>32</v>
      </c>
      <c r="Q103" s="157" t="s">
        <v>33</v>
      </c>
      <c r="R103" s="124" t="s">
        <v>34</v>
      </c>
      <c r="S103" s="235"/>
    </row>
    <row r="104" spans="1:19" s="28" customFormat="1" ht="30" customHeight="1">
      <c r="A104" s="325">
        <f t="shared" si="4"/>
        <v>102</v>
      </c>
      <c r="B104" s="287" t="s">
        <v>66</v>
      </c>
      <c r="C104" s="270" t="s">
        <v>27</v>
      </c>
      <c r="D104" s="270" t="s">
        <v>28</v>
      </c>
      <c r="E104" s="288">
        <v>138279</v>
      </c>
      <c r="F104" s="283">
        <v>311</v>
      </c>
      <c r="G104" s="283">
        <v>63.45</v>
      </c>
      <c r="H104" s="283">
        <v>8.8000000000000007</v>
      </c>
      <c r="I104" s="274" t="s">
        <v>290</v>
      </c>
      <c r="J104" s="289">
        <v>0.375</v>
      </c>
      <c r="K104" s="274">
        <v>42586</v>
      </c>
      <c r="L104" s="273">
        <v>0.79166666666666663</v>
      </c>
      <c r="M104" s="288">
        <v>3114</v>
      </c>
      <c r="N104" s="286" t="s">
        <v>82</v>
      </c>
      <c r="O104" s="281" t="s">
        <v>53</v>
      </c>
      <c r="P104" s="276" t="s">
        <v>32</v>
      </c>
      <c r="Q104" s="157" t="s">
        <v>33</v>
      </c>
      <c r="R104" s="124" t="s">
        <v>56</v>
      </c>
      <c r="S104" s="235"/>
    </row>
    <row r="105" spans="1:19" s="28" customFormat="1" ht="30" customHeight="1">
      <c r="A105" s="325">
        <f t="shared" si="4"/>
        <v>103</v>
      </c>
      <c r="B105" s="270" t="s">
        <v>180</v>
      </c>
      <c r="C105" s="270" t="s">
        <v>181</v>
      </c>
      <c r="D105" s="270" t="s">
        <v>193</v>
      </c>
      <c r="E105" s="271">
        <v>65591</v>
      </c>
      <c r="F105" s="291">
        <v>274.89999999999998</v>
      </c>
      <c r="G105" s="291">
        <v>47</v>
      </c>
      <c r="H105" s="291">
        <v>6.8</v>
      </c>
      <c r="I105" s="274" t="s">
        <v>290</v>
      </c>
      <c r="J105" s="289">
        <v>0.54166666666666663</v>
      </c>
      <c r="K105" s="274">
        <v>42586</v>
      </c>
      <c r="L105" s="292">
        <v>0.79166666666666663</v>
      </c>
      <c r="M105" s="275">
        <v>2700</v>
      </c>
      <c r="N105" s="286" t="s">
        <v>184</v>
      </c>
      <c r="O105" s="286" t="s">
        <v>82</v>
      </c>
      <c r="P105" s="270" t="s">
        <v>238</v>
      </c>
      <c r="Q105" s="157" t="s">
        <v>239</v>
      </c>
      <c r="R105" s="124" t="s">
        <v>45</v>
      </c>
      <c r="S105" s="235"/>
    </row>
    <row r="106" spans="1:19" s="28" customFormat="1" ht="30" customHeight="1">
      <c r="A106" s="325">
        <f t="shared" si="4"/>
        <v>104</v>
      </c>
      <c r="B106" s="295" t="s">
        <v>236</v>
      </c>
      <c r="C106" s="269" t="s">
        <v>97</v>
      </c>
      <c r="D106" s="269" t="s">
        <v>88</v>
      </c>
      <c r="E106" s="296">
        <v>108865</v>
      </c>
      <c r="F106" s="268">
        <v>290</v>
      </c>
      <c r="G106" s="268">
        <v>54</v>
      </c>
      <c r="H106" s="268">
        <v>8.5</v>
      </c>
      <c r="I106" s="297" t="s">
        <v>291</v>
      </c>
      <c r="J106" s="298">
        <v>0.41666666666666669</v>
      </c>
      <c r="K106" s="297">
        <v>42588</v>
      </c>
      <c r="L106" s="298">
        <v>0.79166666666666663</v>
      </c>
      <c r="M106" s="155">
        <v>2594</v>
      </c>
      <c r="N106" s="158" t="s">
        <v>52</v>
      </c>
      <c r="O106" s="269" t="s">
        <v>68</v>
      </c>
      <c r="P106" s="87" t="s">
        <v>169</v>
      </c>
      <c r="Q106" s="157" t="s">
        <v>84</v>
      </c>
      <c r="R106" s="124" t="s">
        <v>56</v>
      </c>
      <c r="S106" s="235"/>
    </row>
    <row r="107" spans="1:19" s="28" customFormat="1" ht="30" customHeight="1">
      <c r="A107" s="325">
        <f t="shared" si="4"/>
        <v>105</v>
      </c>
      <c r="B107" s="124" t="s">
        <v>104</v>
      </c>
      <c r="C107" s="124" t="s">
        <v>284</v>
      </c>
      <c r="D107" s="124"/>
      <c r="E107" s="236">
        <v>35260</v>
      </c>
      <c r="F107" s="237">
        <v>205</v>
      </c>
      <c r="G107" s="237"/>
      <c r="H107" s="237"/>
      <c r="I107" s="124" t="s">
        <v>292</v>
      </c>
      <c r="J107" s="125">
        <v>0.33333333333333331</v>
      </c>
      <c r="K107" s="84">
        <v>42589</v>
      </c>
      <c r="L107" s="125">
        <v>0.83333333333333337</v>
      </c>
      <c r="M107" s="155">
        <v>1422</v>
      </c>
      <c r="N107" s="158" t="s">
        <v>129</v>
      </c>
      <c r="O107" s="124" t="s">
        <v>152</v>
      </c>
      <c r="P107" s="156" t="s">
        <v>238</v>
      </c>
      <c r="Q107" s="157" t="s">
        <v>239</v>
      </c>
      <c r="R107" s="124" t="s">
        <v>45</v>
      </c>
      <c r="S107" s="235"/>
    </row>
    <row r="108" spans="1:19" s="28" customFormat="1" ht="30" customHeight="1">
      <c r="A108" s="325">
        <f t="shared" si="4"/>
        <v>106</v>
      </c>
      <c r="B108" s="280" t="s">
        <v>205</v>
      </c>
      <c r="C108" s="281" t="s">
        <v>206</v>
      </c>
      <c r="D108" s="281" t="s">
        <v>50</v>
      </c>
      <c r="E108" s="282">
        <v>75166</v>
      </c>
      <c r="F108" s="283">
        <v>252.37</v>
      </c>
      <c r="G108" s="283">
        <v>51.4</v>
      </c>
      <c r="H108" s="283">
        <v>8</v>
      </c>
      <c r="I108" s="284" t="s">
        <v>293</v>
      </c>
      <c r="J108" s="285">
        <v>0.33333333333333331</v>
      </c>
      <c r="K108" s="284">
        <v>42590</v>
      </c>
      <c r="L108" s="285">
        <v>0.79166666666666663</v>
      </c>
      <c r="M108" s="275">
        <v>1928</v>
      </c>
      <c r="N108" s="286" t="s">
        <v>281</v>
      </c>
      <c r="O108" s="286" t="s">
        <v>53</v>
      </c>
      <c r="P108" s="290" t="s">
        <v>294</v>
      </c>
      <c r="Q108" s="157" t="s">
        <v>55</v>
      </c>
      <c r="R108" s="124" t="s">
        <v>45</v>
      </c>
      <c r="S108" s="235" t="s">
        <v>282</v>
      </c>
    </row>
    <row r="109" spans="1:19" s="28" customFormat="1" ht="30" customHeight="1">
      <c r="A109" s="325">
        <f t="shared" si="4"/>
        <v>107</v>
      </c>
      <c r="B109" s="280" t="s">
        <v>77</v>
      </c>
      <c r="C109" s="281" t="s">
        <v>224</v>
      </c>
      <c r="D109" s="281" t="s">
        <v>295</v>
      </c>
      <c r="E109" s="282">
        <v>24427</v>
      </c>
      <c r="F109" s="283">
        <v>180.45</v>
      </c>
      <c r="G109" s="283"/>
      <c r="H109" s="283"/>
      <c r="I109" s="284" t="s">
        <v>293</v>
      </c>
      <c r="J109" s="285">
        <v>0.29166666666666669</v>
      </c>
      <c r="K109" s="284">
        <v>42590</v>
      </c>
      <c r="L109" s="285">
        <v>0.83333333333333337</v>
      </c>
      <c r="M109" s="275"/>
      <c r="N109" s="286" t="s">
        <v>90</v>
      </c>
      <c r="O109" s="286" t="s">
        <v>226</v>
      </c>
      <c r="P109" s="290" t="s">
        <v>228</v>
      </c>
      <c r="Q109" s="157" t="s">
        <v>123</v>
      </c>
      <c r="R109" s="124" t="s">
        <v>155</v>
      </c>
      <c r="S109" s="235"/>
    </row>
    <row r="110" spans="1:19" s="28" customFormat="1" ht="30" customHeight="1">
      <c r="A110" s="325">
        <f t="shared" si="4"/>
        <v>108</v>
      </c>
      <c r="B110" s="124" t="s">
        <v>250</v>
      </c>
      <c r="C110" s="124" t="s">
        <v>27</v>
      </c>
      <c r="D110" s="124" t="s">
        <v>28</v>
      </c>
      <c r="E110" s="236">
        <v>168700</v>
      </c>
      <c r="F110" s="237">
        <v>348</v>
      </c>
      <c r="G110" s="237">
        <v>62.5</v>
      </c>
      <c r="H110" s="237">
        <v>8.5</v>
      </c>
      <c r="I110" s="124" t="s">
        <v>296</v>
      </c>
      <c r="J110" s="125">
        <v>0.625</v>
      </c>
      <c r="K110" s="84">
        <v>42591</v>
      </c>
      <c r="L110" s="125">
        <v>0.91666666666666663</v>
      </c>
      <c r="M110" s="155">
        <v>4152</v>
      </c>
      <c r="N110" s="158" t="s">
        <v>297</v>
      </c>
      <c r="O110" s="124" t="s">
        <v>53</v>
      </c>
      <c r="P110" s="156" t="s">
        <v>32</v>
      </c>
      <c r="Q110" s="157" t="s">
        <v>33</v>
      </c>
      <c r="R110" s="124" t="s">
        <v>34</v>
      </c>
      <c r="S110" s="235"/>
    </row>
    <row r="111" spans="1:19" s="28" customFormat="1" ht="30" customHeight="1">
      <c r="A111" s="325">
        <f t="shared" si="4"/>
        <v>109</v>
      </c>
      <c r="B111" s="124" t="s">
        <v>145</v>
      </c>
      <c r="C111" s="124" t="s">
        <v>97</v>
      </c>
      <c r="D111" s="124" t="s">
        <v>146</v>
      </c>
      <c r="E111" s="236">
        <v>115875</v>
      </c>
      <c r="F111" s="237">
        <v>290</v>
      </c>
      <c r="G111" s="148">
        <v>54</v>
      </c>
      <c r="H111" s="148">
        <v>8.5</v>
      </c>
      <c r="I111" s="84" t="s">
        <v>298</v>
      </c>
      <c r="J111" s="125">
        <v>0.29166666666666669</v>
      </c>
      <c r="K111" s="84">
        <v>42592</v>
      </c>
      <c r="L111" s="125">
        <v>0.75</v>
      </c>
      <c r="M111" s="155">
        <v>2600</v>
      </c>
      <c r="N111" s="158" t="s">
        <v>199</v>
      </c>
      <c r="O111" s="158" t="s">
        <v>244</v>
      </c>
      <c r="P111" s="124" t="s">
        <v>169</v>
      </c>
      <c r="Q111" s="157" t="s">
        <v>84</v>
      </c>
      <c r="R111" s="124" t="s">
        <v>56</v>
      </c>
      <c r="S111" s="235"/>
    </row>
    <row r="112" spans="1:19" s="28" customFormat="1" ht="30" customHeight="1">
      <c r="A112" s="325">
        <f t="shared" si="4"/>
        <v>110</v>
      </c>
      <c r="B112" s="280" t="s">
        <v>236</v>
      </c>
      <c r="C112" s="281" t="s">
        <v>97</v>
      </c>
      <c r="D112" s="281" t="s">
        <v>88</v>
      </c>
      <c r="E112" s="282">
        <v>108865</v>
      </c>
      <c r="F112" s="283">
        <v>290</v>
      </c>
      <c r="G112" s="283">
        <v>54</v>
      </c>
      <c r="H112" s="283">
        <v>8.5</v>
      </c>
      <c r="I112" s="284" t="s">
        <v>299</v>
      </c>
      <c r="J112" s="285">
        <v>0.41666666666666669</v>
      </c>
      <c r="K112" s="284">
        <v>42593</v>
      </c>
      <c r="L112" s="285">
        <v>0.79166666666666663</v>
      </c>
      <c r="M112" s="275">
        <v>2594</v>
      </c>
      <c r="N112" s="286" t="s">
        <v>52</v>
      </c>
      <c r="O112" s="281" t="s">
        <v>52</v>
      </c>
      <c r="P112" s="270" t="s">
        <v>169</v>
      </c>
      <c r="Q112" s="157" t="s">
        <v>84</v>
      </c>
      <c r="R112" s="124" t="s">
        <v>56</v>
      </c>
      <c r="S112" s="235"/>
    </row>
    <row r="113" spans="1:20" s="28" customFormat="1" ht="30" customHeight="1">
      <c r="A113" s="325">
        <f t="shared" si="4"/>
        <v>111</v>
      </c>
      <c r="B113" s="280" t="s">
        <v>180</v>
      </c>
      <c r="C113" s="281" t="s">
        <v>300</v>
      </c>
      <c r="D113" s="281" t="s">
        <v>182</v>
      </c>
      <c r="E113" s="282">
        <v>65591</v>
      </c>
      <c r="F113" s="283">
        <v>274.89999999999998</v>
      </c>
      <c r="G113" s="291">
        <v>47</v>
      </c>
      <c r="H113" s="291">
        <v>6.8</v>
      </c>
      <c r="I113" s="284" t="s">
        <v>299</v>
      </c>
      <c r="J113" s="285">
        <v>0.4375</v>
      </c>
      <c r="K113" s="284">
        <v>42593</v>
      </c>
      <c r="L113" s="285">
        <v>0.77083333333333337</v>
      </c>
      <c r="M113" s="275">
        <v>2700</v>
      </c>
      <c r="N113" s="286" t="s">
        <v>68</v>
      </c>
      <c r="O113" s="281" t="s">
        <v>37</v>
      </c>
      <c r="P113" s="270" t="s">
        <v>238</v>
      </c>
      <c r="Q113" s="157" t="s">
        <v>239</v>
      </c>
      <c r="R113" s="124" t="s">
        <v>45</v>
      </c>
      <c r="S113" s="235"/>
    </row>
    <row r="114" spans="1:20" s="28" customFormat="1" ht="30" customHeight="1">
      <c r="A114" s="325">
        <f t="shared" si="4"/>
        <v>112</v>
      </c>
      <c r="B114" s="295" t="s">
        <v>205</v>
      </c>
      <c r="C114" s="269" t="s">
        <v>206</v>
      </c>
      <c r="D114" s="269" t="s">
        <v>50</v>
      </c>
      <c r="E114" s="296">
        <v>75166</v>
      </c>
      <c r="F114" s="268">
        <v>252.37</v>
      </c>
      <c r="G114" s="268">
        <v>51.4</v>
      </c>
      <c r="H114" s="268">
        <v>8</v>
      </c>
      <c r="I114" s="297" t="s">
        <v>301</v>
      </c>
      <c r="J114" s="298">
        <v>0.33333333333333331</v>
      </c>
      <c r="K114" s="297">
        <v>42595</v>
      </c>
      <c r="L114" s="298">
        <v>0.79166666666666663</v>
      </c>
      <c r="M114" s="155">
        <v>1928</v>
      </c>
      <c r="N114" s="158" t="s">
        <v>281</v>
      </c>
      <c r="O114" s="158" t="s">
        <v>53</v>
      </c>
      <c r="P114" s="156" t="s">
        <v>294</v>
      </c>
      <c r="Q114" s="157" t="s">
        <v>209</v>
      </c>
      <c r="R114" s="124" t="s">
        <v>45</v>
      </c>
      <c r="S114" s="235" t="s">
        <v>282</v>
      </c>
    </row>
    <row r="115" spans="1:20" s="28" customFormat="1" ht="30" customHeight="1">
      <c r="A115" s="325">
        <f t="shared" si="4"/>
        <v>113</v>
      </c>
      <c r="B115" s="124" t="s">
        <v>39</v>
      </c>
      <c r="C115" s="124" t="s">
        <v>40</v>
      </c>
      <c r="D115" s="124" t="s">
        <v>41</v>
      </c>
      <c r="E115" s="236">
        <v>72458</v>
      </c>
      <c r="F115" s="237">
        <v>245</v>
      </c>
      <c r="G115" s="237"/>
      <c r="H115" s="241">
        <v>7.5</v>
      </c>
      <c r="I115" s="124" t="s">
        <v>302</v>
      </c>
      <c r="J115" s="125">
        <v>0.33333333333333331</v>
      </c>
      <c r="K115" s="84">
        <v>42596</v>
      </c>
      <c r="L115" s="125">
        <v>0.70833333333333337</v>
      </c>
      <c r="M115" s="151">
        <v>1778</v>
      </c>
      <c r="N115" s="158" t="s">
        <v>164</v>
      </c>
      <c r="O115" s="158" t="s">
        <v>303</v>
      </c>
      <c r="P115" s="124" t="s">
        <v>32</v>
      </c>
      <c r="Q115" s="157" t="s">
        <v>185</v>
      </c>
      <c r="R115" s="124" t="s">
        <v>45</v>
      </c>
      <c r="S115" s="235"/>
    </row>
    <row r="116" spans="1:20" s="28" customFormat="1" ht="30" customHeight="1">
      <c r="A116" s="325">
        <f t="shared" si="4"/>
        <v>114</v>
      </c>
      <c r="B116" s="270" t="s">
        <v>115</v>
      </c>
      <c r="C116" s="270" t="s">
        <v>97</v>
      </c>
      <c r="D116" s="270" t="s">
        <v>116</v>
      </c>
      <c r="E116" s="294">
        <v>115875</v>
      </c>
      <c r="F116" s="291">
        <v>290</v>
      </c>
      <c r="G116" s="291">
        <v>54</v>
      </c>
      <c r="H116" s="291">
        <v>8.5</v>
      </c>
      <c r="I116" s="270" t="s">
        <v>304</v>
      </c>
      <c r="J116" s="273">
        <v>0.33333333333333331</v>
      </c>
      <c r="K116" s="274">
        <v>42597</v>
      </c>
      <c r="L116" s="273">
        <v>0.79166666666666663</v>
      </c>
      <c r="M116" s="275">
        <v>2600</v>
      </c>
      <c r="N116" s="286" t="s">
        <v>82</v>
      </c>
      <c r="O116" s="286" t="s">
        <v>37</v>
      </c>
      <c r="P116" s="270" t="s">
        <v>83</v>
      </c>
      <c r="Q116" s="157" t="s">
        <v>84</v>
      </c>
      <c r="R116" s="124" t="s">
        <v>56</v>
      </c>
      <c r="S116" s="235"/>
    </row>
    <row r="117" spans="1:20" s="28" customFormat="1" ht="30" customHeight="1">
      <c r="A117" s="325">
        <f t="shared" si="4"/>
        <v>115</v>
      </c>
      <c r="B117" s="270" t="s">
        <v>250</v>
      </c>
      <c r="C117" s="270" t="s">
        <v>27</v>
      </c>
      <c r="D117" s="270" t="s">
        <v>28</v>
      </c>
      <c r="E117" s="294">
        <v>168700</v>
      </c>
      <c r="F117" s="291">
        <v>348</v>
      </c>
      <c r="G117" s="291">
        <v>62.5</v>
      </c>
      <c r="H117" s="291">
        <v>8.5</v>
      </c>
      <c r="I117" s="270" t="s">
        <v>305</v>
      </c>
      <c r="J117" s="273">
        <v>0.375</v>
      </c>
      <c r="K117" s="274">
        <v>42597</v>
      </c>
      <c r="L117" s="273">
        <v>0.70833333333333337</v>
      </c>
      <c r="M117" s="275">
        <v>4152</v>
      </c>
      <c r="N117" s="286" t="s">
        <v>306</v>
      </c>
      <c r="O117" s="270" t="s">
        <v>257</v>
      </c>
      <c r="P117" s="276" t="s">
        <v>32</v>
      </c>
      <c r="Q117" s="157" t="s">
        <v>33</v>
      </c>
      <c r="R117" s="124" t="s">
        <v>34</v>
      </c>
      <c r="S117" s="235"/>
    </row>
    <row r="118" spans="1:20" s="28" customFormat="1" ht="30" customHeight="1">
      <c r="A118" s="325">
        <f t="shared" si="4"/>
        <v>116</v>
      </c>
      <c r="B118" s="301" t="s">
        <v>66</v>
      </c>
      <c r="C118" s="124" t="s">
        <v>27</v>
      </c>
      <c r="D118" s="124" t="s">
        <v>28</v>
      </c>
      <c r="E118" s="240">
        <v>138279</v>
      </c>
      <c r="F118" s="268">
        <v>311</v>
      </c>
      <c r="G118" s="268">
        <v>63.45</v>
      </c>
      <c r="H118" s="268">
        <v>8.8000000000000007</v>
      </c>
      <c r="I118" s="84" t="s">
        <v>307</v>
      </c>
      <c r="J118" s="85">
        <v>0.375</v>
      </c>
      <c r="K118" s="84">
        <v>42599</v>
      </c>
      <c r="L118" s="125">
        <v>0.79166666666666663</v>
      </c>
      <c r="M118" s="240">
        <v>3114</v>
      </c>
      <c r="N118" s="154" t="s">
        <v>82</v>
      </c>
      <c r="O118" s="269" t="s">
        <v>53</v>
      </c>
      <c r="P118" s="156" t="s">
        <v>32</v>
      </c>
      <c r="Q118" s="157" t="s">
        <v>33</v>
      </c>
      <c r="R118" s="124" t="s">
        <v>56</v>
      </c>
      <c r="S118" s="235"/>
    </row>
    <row r="119" spans="1:20" s="28" customFormat="1" ht="30" customHeight="1">
      <c r="A119" s="325">
        <f t="shared" si="4"/>
        <v>117</v>
      </c>
      <c r="B119" s="295" t="s">
        <v>205</v>
      </c>
      <c r="C119" s="269" t="s">
        <v>206</v>
      </c>
      <c r="D119" s="269" t="s">
        <v>50</v>
      </c>
      <c r="E119" s="296">
        <v>75166</v>
      </c>
      <c r="F119" s="268">
        <v>252.37</v>
      </c>
      <c r="G119" s="268">
        <v>51.4</v>
      </c>
      <c r="H119" s="268">
        <v>8</v>
      </c>
      <c r="I119" s="297" t="s">
        <v>308</v>
      </c>
      <c r="J119" s="298">
        <v>0.33333333333333331</v>
      </c>
      <c r="K119" s="297">
        <v>42600</v>
      </c>
      <c r="L119" s="298">
        <v>0.79166666666666663</v>
      </c>
      <c r="M119" s="155">
        <v>1928</v>
      </c>
      <c r="N119" s="158" t="s">
        <v>281</v>
      </c>
      <c r="O119" s="158" t="s">
        <v>217</v>
      </c>
      <c r="P119" s="156" t="s">
        <v>294</v>
      </c>
      <c r="Q119" s="157" t="s">
        <v>209</v>
      </c>
      <c r="R119" s="124" t="s">
        <v>45</v>
      </c>
      <c r="S119" s="235" t="s">
        <v>282</v>
      </c>
    </row>
    <row r="120" spans="1:20" s="28" customFormat="1" ht="30" customHeight="1">
      <c r="A120" s="325">
        <f t="shared" si="4"/>
        <v>118</v>
      </c>
      <c r="B120" s="270" t="s">
        <v>250</v>
      </c>
      <c r="C120" s="270" t="s">
        <v>27</v>
      </c>
      <c r="D120" s="270" t="s">
        <v>28</v>
      </c>
      <c r="E120" s="294">
        <v>168700</v>
      </c>
      <c r="F120" s="291">
        <v>348</v>
      </c>
      <c r="G120" s="291">
        <v>62.5</v>
      </c>
      <c r="H120" s="291">
        <v>8.5</v>
      </c>
      <c r="I120" s="270" t="s">
        <v>309</v>
      </c>
      <c r="J120" s="273">
        <v>0.375</v>
      </c>
      <c r="K120" s="274">
        <v>42602</v>
      </c>
      <c r="L120" s="273">
        <v>0.70833333333333337</v>
      </c>
      <c r="M120" s="275">
        <v>4152</v>
      </c>
      <c r="N120" s="286" t="s">
        <v>37</v>
      </c>
      <c r="O120" s="270" t="s">
        <v>310</v>
      </c>
      <c r="P120" s="276" t="s">
        <v>32</v>
      </c>
      <c r="Q120" s="157" t="s">
        <v>33</v>
      </c>
      <c r="R120" s="124" t="s">
        <v>34</v>
      </c>
      <c r="S120" s="235"/>
    </row>
    <row r="121" spans="1:20" s="28" customFormat="1" ht="30" customHeight="1">
      <c r="A121" s="325">
        <f t="shared" si="4"/>
        <v>119</v>
      </c>
      <c r="B121" s="270" t="s">
        <v>180</v>
      </c>
      <c r="C121" s="270" t="s">
        <v>181</v>
      </c>
      <c r="D121" s="270" t="s">
        <v>182</v>
      </c>
      <c r="E121" s="294">
        <v>65591</v>
      </c>
      <c r="F121" s="291">
        <v>274.89999999999998</v>
      </c>
      <c r="G121" s="291">
        <v>47</v>
      </c>
      <c r="H121" s="291">
        <v>6.8</v>
      </c>
      <c r="I121" s="270" t="s">
        <v>309</v>
      </c>
      <c r="J121" s="273">
        <v>0.33333333333333331</v>
      </c>
      <c r="K121" s="274">
        <v>42602</v>
      </c>
      <c r="L121" s="273">
        <v>0.75</v>
      </c>
      <c r="M121" s="275">
        <v>2700</v>
      </c>
      <c r="N121" s="286" t="s">
        <v>226</v>
      </c>
      <c r="O121" s="270" t="s">
        <v>164</v>
      </c>
      <c r="P121" s="276" t="s">
        <v>238</v>
      </c>
      <c r="Q121" s="157" t="s">
        <v>239</v>
      </c>
      <c r="R121" s="124" t="s">
        <v>45</v>
      </c>
      <c r="S121" s="235"/>
    </row>
    <row r="122" spans="1:20" s="28" customFormat="1" ht="30" customHeight="1">
      <c r="A122" s="325">
        <f t="shared" si="4"/>
        <v>120</v>
      </c>
      <c r="B122" s="87" t="s">
        <v>145</v>
      </c>
      <c r="C122" s="87" t="s">
        <v>97</v>
      </c>
      <c r="D122" s="87" t="s">
        <v>146</v>
      </c>
      <c r="E122" s="293">
        <v>115875</v>
      </c>
      <c r="F122" s="241">
        <v>290</v>
      </c>
      <c r="G122" s="241">
        <v>54</v>
      </c>
      <c r="H122" s="241">
        <v>8.5</v>
      </c>
      <c r="I122" s="87" t="s">
        <v>311</v>
      </c>
      <c r="J122" s="133">
        <v>0.41666666666666669</v>
      </c>
      <c r="K122" s="134">
        <v>42603</v>
      </c>
      <c r="L122" s="133">
        <v>0.75</v>
      </c>
      <c r="M122" s="151">
        <v>2600</v>
      </c>
      <c r="N122" s="154" t="s">
        <v>184</v>
      </c>
      <c r="O122" s="154" t="s">
        <v>312</v>
      </c>
      <c r="P122" s="87" t="s">
        <v>169</v>
      </c>
      <c r="Q122" s="157" t="s">
        <v>84</v>
      </c>
      <c r="R122" s="124" t="s">
        <v>56</v>
      </c>
      <c r="S122" s="235"/>
    </row>
    <row r="123" spans="1:20" s="28" customFormat="1" ht="30" customHeight="1">
      <c r="A123" s="325">
        <f t="shared" si="4"/>
        <v>121</v>
      </c>
      <c r="B123" s="124" t="s">
        <v>39</v>
      </c>
      <c r="C123" s="124" t="s">
        <v>40</v>
      </c>
      <c r="D123" s="124" t="s">
        <v>41</v>
      </c>
      <c r="E123" s="157">
        <v>72458</v>
      </c>
      <c r="F123" s="237">
        <v>245</v>
      </c>
      <c r="G123" s="237"/>
      <c r="H123" s="237">
        <v>7.5</v>
      </c>
      <c r="I123" s="84" t="s">
        <v>313</v>
      </c>
      <c r="J123" s="85">
        <v>0.33333333333333331</v>
      </c>
      <c r="K123" s="84">
        <v>42604</v>
      </c>
      <c r="L123" s="86">
        <v>0.70833333333333337</v>
      </c>
      <c r="M123" s="155">
        <v>1778</v>
      </c>
      <c r="N123" s="158" t="s">
        <v>68</v>
      </c>
      <c r="O123" s="269" t="s">
        <v>53</v>
      </c>
      <c r="P123" s="124" t="s">
        <v>32</v>
      </c>
      <c r="Q123" s="157" t="s">
        <v>33</v>
      </c>
      <c r="R123" s="124" t="s">
        <v>155</v>
      </c>
      <c r="S123" s="235"/>
    </row>
    <row r="124" spans="1:20" s="28" customFormat="1" ht="30" customHeight="1">
      <c r="A124" s="325">
        <f t="shared" si="4"/>
        <v>122</v>
      </c>
      <c r="B124" s="295" t="s">
        <v>205</v>
      </c>
      <c r="C124" s="269" t="s">
        <v>206</v>
      </c>
      <c r="D124" s="269" t="s">
        <v>50</v>
      </c>
      <c r="E124" s="296">
        <v>75166</v>
      </c>
      <c r="F124" s="268">
        <v>252.37</v>
      </c>
      <c r="G124" s="268">
        <v>51.4</v>
      </c>
      <c r="H124" s="268">
        <v>8</v>
      </c>
      <c r="I124" s="297" t="s">
        <v>314</v>
      </c>
      <c r="J124" s="298">
        <v>0.33333333333333331</v>
      </c>
      <c r="K124" s="297">
        <v>42605</v>
      </c>
      <c r="L124" s="298">
        <v>0.79166666666666663</v>
      </c>
      <c r="M124" s="155">
        <v>1928</v>
      </c>
      <c r="N124" s="158" t="s">
        <v>281</v>
      </c>
      <c r="O124" s="158" t="s">
        <v>217</v>
      </c>
      <c r="P124" s="156" t="s">
        <v>111</v>
      </c>
      <c r="Q124" s="157" t="s">
        <v>209</v>
      </c>
      <c r="R124" s="124" t="s">
        <v>45</v>
      </c>
      <c r="S124" s="235" t="s">
        <v>282</v>
      </c>
    </row>
    <row r="125" spans="1:20" s="28" customFormat="1" ht="30" customHeight="1">
      <c r="A125" s="325">
        <f t="shared" si="4"/>
        <v>123</v>
      </c>
      <c r="B125" s="124" t="s">
        <v>180</v>
      </c>
      <c r="C125" s="124" t="s">
        <v>181</v>
      </c>
      <c r="D125" s="124" t="s">
        <v>193</v>
      </c>
      <c r="E125" s="157">
        <v>65591</v>
      </c>
      <c r="F125" s="237">
        <v>274.89999999999998</v>
      </c>
      <c r="G125" s="237">
        <v>47</v>
      </c>
      <c r="H125" s="237">
        <v>6.8</v>
      </c>
      <c r="I125" s="84" t="s">
        <v>315</v>
      </c>
      <c r="J125" s="85">
        <v>0.41666666666666669</v>
      </c>
      <c r="K125" s="84">
        <v>42607</v>
      </c>
      <c r="L125" s="135">
        <v>0.79166666666666663</v>
      </c>
      <c r="M125" s="151">
        <v>2700</v>
      </c>
      <c r="N125" s="154" t="s">
        <v>82</v>
      </c>
      <c r="O125" s="154" t="s">
        <v>226</v>
      </c>
      <c r="P125" s="124" t="s">
        <v>238</v>
      </c>
      <c r="Q125" s="157" t="s">
        <v>239</v>
      </c>
      <c r="R125" s="124" t="s">
        <v>45</v>
      </c>
      <c r="S125" s="235"/>
    </row>
    <row r="126" spans="1:20" s="28" customFormat="1" ht="30" customHeight="1">
      <c r="A126" s="325">
        <f t="shared" si="4"/>
        <v>124</v>
      </c>
      <c r="B126" s="124" t="s">
        <v>145</v>
      </c>
      <c r="C126" s="124" t="s">
        <v>97</v>
      </c>
      <c r="D126" s="124" t="s">
        <v>146</v>
      </c>
      <c r="E126" s="236">
        <v>115875</v>
      </c>
      <c r="F126" s="237">
        <v>290</v>
      </c>
      <c r="G126" s="268">
        <v>54</v>
      </c>
      <c r="H126" s="268">
        <v>8.5</v>
      </c>
      <c r="I126" s="124" t="s">
        <v>316</v>
      </c>
      <c r="J126" s="125">
        <v>0.58333333333333337</v>
      </c>
      <c r="K126" s="84">
        <v>42608</v>
      </c>
      <c r="L126" s="125">
        <v>0.83333333333333337</v>
      </c>
      <c r="M126" s="155">
        <v>2600</v>
      </c>
      <c r="N126" s="158" t="s">
        <v>255</v>
      </c>
      <c r="O126" s="158" t="s">
        <v>184</v>
      </c>
      <c r="P126" s="124" t="s">
        <v>169</v>
      </c>
      <c r="Q126" s="157" t="s">
        <v>84</v>
      </c>
      <c r="R126" s="87" t="s">
        <v>155</v>
      </c>
      <c r="S126" s="235"/>
      <c r="T126" s="80"/>
    </row>
    <row r="127" spans="1:20" s="28" customFormat="1" ht="30" customHeight="1">
      <c r="A127" s="325">
        <f t="shared" si="4"/>
        <v>125</v>
      </c>
      <c r="B127" s="280" t="s">
        <v>205</v>
      </c>
      <c r="C127" s="281" t="s">
        <v>206</v>
      </c>
      <c r="D127" s="281" t="s">
        <v>50</v>
      </c>
      <c r="E127" s="282">
        <v>75166</v>
      </c>
      <c r="F127" s="283">
        <v>252.37</v>
      </c>
      <c r="G127" s="283">
        <v>51.4</v>
      </c>
      <c r="H127" s="283">
        <v>8</v>
      </c>
      <c r="I127" s="284" t="s">
        <v>317</v>
      </c>
      <c r="J127" s="285">
        <v>0.33333333333333331</v>
      </c>
      <c r="K127" s="284">
        <v>42610</v>
      </c>
      <c r="L127" s="285">
        <v>0.79166666666666663</v>
      </c>
      <c r="M127" s="275">
        <v>1928</v>
      </c>
      <c r="N127" s="286" t="s">
        <v>281</v>
      </c>
      <c r="O127" s="286" t="s">
        <v>217</v>
      </c>
      <c r="P127" s="276" t="s">
        <v>294</v>
      </c>
      <c r="Q127" s="157" t="s">
        <v>55</v>
      </c>
      <c r="R127" s="87" t="s">
        <v>45</v>
      </c>
      <c r="S127" s="235" t="s">
        <v>282</v>
      </c>
    </row>
    <row r="128" spans="1:20" s="28" customFormat="1" ht="30" customHeight="1">
      <c r="A128" s="325">
        <f t="shared" si="4"/>
        <v>126</v>
      </c>
      <c r="B128" s="270" t="s">
        <v>250</v>
      </c>
      <c r="C128" s="270" t="s">
        <v>27</v>
      </c>
      <c r="D128" s="270" t="s">
        <v>28</v>
      </c>
      <c r="E128" s="294">
        <v>168700</v>
      </c>
      <c r="F128" s="291">
        <v>348</v>
      </c>
      <c r="G128" s="291">
        <v>62.5</v>
      </c>
      <c r="H128" s="291">
        <v>8.5</v>
      </c>
      <c r="I128" s="270" t="s">
        <v>317</v>
      </c>
      <c r="J128" s="273">
        <v>0.41666666666666669</v>
      </c>
      <c r="K128" s="274">
        <v>42610</v>
      </c>
      <c r="L128" s="273">
        <v>0.75</v>
      </c>
      <c r="M128" s="275">
        <v>4152</v>
      </c>
      <c r="N128" s="286" t="s">
        <v>197</v>
      </c>
      <c r="O128" s="270" t="s">
        <v>30</v>
      </c>
      <c r="P128" s="276" t="s">
        <v>32</v>
      </c>
      <c r="Q128" s="157" t="s">
        <v>33</v>
      </c>
      <c r="R128" s="87" t="s">
        <v>34</v>
      </c>
      <c r="S128" s="235"/>
    </row>
    <row r="129" spans="1:19" s="28" customFormat="1" ht="30" customHeight="1">
      <c r="A129" s="325">
        <f t="shared" si="4"/>
        <v>127</v>
      </c>
      <c r="B129" s="270" t="s">
        <v>115</v>
      </c>
      <c r="C129" s="270" t="s">
        <v>97</v>
      </c>
      <c r="D129" s="270" t="s">
        <v>116</v>
      </c>
      <c r="E129" s="294">
        <v>115875</v>
      </c>
      <c r="F129" s="291">
        <v>290</v>
      </c>
      <c r="G129" s="291">
        <v>54</v>
      </c>
      <c r="H129" s="291">
        <v>8.5</v>
      </c>
      <c r="I129" s="270" t="s">
        <v>318</v>
      </c>
      <c r="J129" s="273">
        <v>0.33333333333333331</v>
      </c>
      <c r="K129" s="274">
        <v>42611</v>
      </c>
      <c r="L129" s="273">
        <v>0.79166666666666663</v>
      </c>
      <c r="M129" s="275">
        <v>2600</v>
      </c>
      <c r="N129" s="286" t="s">
        <v>82</v>
      </c>
      <c r="O129" s="286" t="s">
        <v>37</v>
      </c>
      <c r="P129" s="270" t="s">
        <v>83</v>
      </c>
      <c r="Q129" s="157" t="s">
        <v>84</v>
      </c>
      <c r="R129" s="87" t="s">
        <v>56</v>
      </c>
      <c r="S129" s="235"/>
    </row>
    <row r="130" spans="1:19" s="28" customFormat="1" ht="30" customHeight="1">
      <c r="A130" s="325">
        <f t="shared" si="4"/>
        <v>128</v>
      </c>
      <c r="B130" s="270" t="s">
        <v>180</v>
      </c>
      <c r="C130" s="270" t="s">
        <v>181</v>
      </c>
      <c r="D130" s="270" t="s">
        <v>193</v>
      </c>
      <c r="E130" s="271">
        <v>65591</v>
      </c>
      <c r="F130" s="291">
        <v>274.89999999999998</v>
      </c>
      <c r="G130" s="291">
        <v>47</v>
      </c>
      <c r="H130" s="291">
        <v>6.8</v>
      </c>
      <c r="I130" s="274" t="s">
        <v>319</v>
      </c>
      <c r="J130" s="289">
        <v>0.41666666666666669</v>
      </c>
      <c r="K130" s="274">
        <v>42611</v>
      </c>
      <c r="L130" s="292">
        <v>0.79166666666666663</v>
      </c>
      <c r="M130" s="275">
        <v>2700</v>
      </c>
      <c r="N130" s="286" t="s">
        <v>82</v>
      </c>
      <c r="O130" s="286" t="s">
        <v>226</v>
      </c>
      <c r="P130" s="270" t="s">
        <v>238</v>
      </c>
      <c r="Q130" s="157" t="s">
        <v>239</v>
      </c>
      <c r="R130" s="87" t="s">
        <v>45</v>
      </c>
      <c r="S130" s="235"/>
    </row>
    <row r="131" spans="1:19" s="28" customFormat="1" ht="30" customHeight="1">
      <c r="A131" s="325">
        <f t="shared" ref="A131:A193" si="5">ROW()-2</f>
        <v>129</v>
      </c>
      <c r="B131" s="287" t="s">
        <v>66</v>
      </c>
      <c r="C131" s="270" t="s">
        <v>27</v>
      </c>
      <c r="D131" s="270" t="s">
        <v>28</v>
      </c>
      <c r="E131" s="288">
        <v>138279</v>
      </c>
      <c r="F131" s="283">
        <v>311</v>
      </c>
      <c r="G131" s="283">
        <v>63.45</v>
      </c>
      <c r="H131" s="283">
        <v>8.8000000000000007</v>
      </c>
      <c r="I131" s="274" t="s">
        <v>320</v>
      </c>
      <c r="J131" s="289">
        <v>0.50694444444444442</v>
      </c>
      <c r="K131" s="274">
        <v>42612</v>
      </c>
      <c r="L131" s="273">
        <v>0.91666666666666663</v>
      </c>
      <c r="M131" s="288">
        <v>3114</v>
      </c>
      <c r="N131" s="286" t="s">
        <v>82</v>
      </c>
      <c r="O131" s="281" t="s">
        <v>53</v>
      </c>
      <c r="P131" s="276" t="s">
        <v>32</v>
      </c>
      <c r="Q131" s="157" t="s">
        <v>33</v>
      </c>
      <c r="R131" s="87" t="s">
        <v>56</v>
      </c>
      <c r="S131" s="235"/>
    </row>
    <row r="132" spans="1:19" s="28" customFormat="1" ht="30" customHeight="1" thickBot="1">
      <c r="A132" s="356">
        <f t="shared" si="5"/>
        <v>130</v>
      </c>
      <c r="B132" s="357" t="s">
        <v>429</v>
      </c>
      <c r="C132" s="357" t="s">
        <v>126</v>
      </c>
      <c r="D132" s="357" t="s">
        <v>127</v>
      </c>
      <c r="E132" s="358">
        <v>50142</v>
      </c>
      <c r="F132" s="359">
        <v>241</v>
      </c>
      <c r="G132" s="359">
        <v>45</v>
      </c>
      <c r="H132" s="359">
        <v>7.8</v>
      </c>
      <c r="I132" s="381" t="s">
        <v>320</v>
      </c>
      <c r="J132" s="382">
        <v>0.25</v>
      </c>
      <c r="K132" s="381">
        <v>42612</v>
      </c>
      <c r="L132" s="383">
        <v>0.66666666666666663</v>
      </c>
      <c r="M132" s="384">
        <v>1100</v>
      </c>
      <c r="N132" s="360" t="s">
        <v>321</v>
      </c>
      <c r="O132" s="360" t="s">
        <v>199</v>
      </c>
      <c r="P132" s="357" t="s">
        <v>126</v>
      </c>
      <c r="Q132" s="250" t="s">
        <v>131</v>
      </c>
      <c r="R132" s="252" t="s">
        <v>45</v>
      </c>
      <c r="S132" s="253"/>
    </row>
    <row r="133" spans="1:19" s="28" customFormat="1" ht="30" customHeight="1">
      <c r="A133" s="361">
        <f t="shared" si="5"/>
        <v>131</v>
      </c>
      <c r="B133" s="136" t="s">
        <v>26</v>
      </c>
      <c r="C133" s="137" t="s">
        <v>27</v>
      </c>
      <c r="D133" s="137" t="s">
        <v>28</v>
      </c>
      <c r="E133" s="138">
        <v>167800</v>
      </c>
      <c r="F133" s="139">
        <v>348</v>
      </c>
      <c r="G133" s="139">
        <v>62.5</v>
      </c>
      <c r="H133" s="139">
        <v>8.5</v>
      </c>
      <c r="I133" s="140" t="s">
        <v>322</v>
      </c>
      <c r="J133" s="141">
        <v>0.29166666666666669</v>
      </c>
      <c r="K133" s="140">
        <v>42614</v>
      </c>
      <c r="L133" s="141">
        <v>0.75</v>
      </c>
      <c r="M133" s="239">
        <v>4152</v>
      </c>
      <c r="N133" s="143" t="s">
        <v>37</v>
      </c>
      <c r="O133" s="137" t="s">
        <v>44</v>
      </c>
      <c r="P133" s="142" t="s">
        <v>32</v>
      </c>
      <c r="Q133" s="261" t="s">
        <v>33</v>
      </c>
      <c r="R133" s="262" t="s">
        <v>34</v>
      </c>
      <c r="S133" s="263"/>
    </row>
    <row r="134" spans="1:19" s="28" customFormat="1" ht="30" customHeight="1">
      <c r="A134" s="325">
        <f t="shared" si="5"/>
        <v>132</v>
      </c>
      <c r="B134" s="145" t="s">
        <v>205</v>
      </c>
      <c r="C134" s="146" t="s">
        <v>206</v>
      </c>
      <c r="D134" s="146" t="s">
        <v>50</v>
      </c>
      <c r="E134" s="147">
        <v>75166</v>
      </c>
      <c r="F134" s="148">
        <v>252.37</v>
      </c>
      <c r="G134" s="148">
        <v>51.4</v>
      </c>
      <c r="H134" s="148">
        <v>8</v>
      </c>
      <c r="I134" s="149" t="s">
        <v>323</v>
      </c>
      <c r="J134" s="150">
        <v>0.33333333333333331</v>
      </c>
      <c r="K134" s="149">
        <v>42615</v>
      </c>
      <c r="L134" s="150">
        <v>0.79166666666666663</v>
      </c>
      <c r="M134" s="151">
        <v>1928</v>
      </c>
      <c r="N134" s="154" t="s">
        <v>281</v>
      </c>
      <c r="O134" s="154" t="s">
        <v>217</v>
      </c>
      <c r="P134" s="152" t="s">
        <v>294</v>
      </c>
      <c r="Q134" s="157" t="s">
        <v>209</v>
      </c>
      <c r="R134" s="87" t="s">
        <v>45</v>
      </c>
      <c r="S134" s="235" t="s">
        <v>282</v>
      </c>
    </row>
    <row r="135" spans="1:19" s="28" customFormat="1" ht="30" customHeight="1">
      <c r="A135" s="325">
        <f t="shared" si="5"/>
        <v>133</v>
      </c>
      <c r="B135" s="124" t="s">
        <v>115</v>
      </c>
      <c r="C135" s="124" t="s">
        <v>97</v>
      </c>
      <c r="D135" s="124" t="s">
        <v>116</v>
      </c>
      <c r="E135" s="236">
        <v>115875</v>
      </c>
      <c r="F135" s="237">
        <v>290</v>
      </c>
      <c r="G135" s="237">
        <v>54</v>
      </c>
      <c r="H135" s="237">
        <v>8.5</v>
      </c>
      <c r="I135" s="124" t="s">
        <v>324</v>
      </c>
      <c r="J135" s="125">
        <v>0.375</v>
      </c>
      <c r="K135" s="124" t="s">
        <v>324</v>
      </c>
      <c r="L135" s="125">
        <v>0.95833333333333337</v>
      </c>
      <c r="M135" s="151"/>
      <c r="N135" s="158" t="s">
        <v>68</v>
      </c>
      <c r="O135" s="158" t="s">
        <v>44</v>
      </c>
      <c r="P135" s="124" t="s">
        <v>83</v>
      </c>
      <c r="Q135" s="157" t="s">
        <v>84</v>
      </c>
      <c r="R135" s="87" t="s">
        <v>56</v>
      </c>
      <c r="S135" s="235" t="s">
        <v>325</v>
      </c>
    </row>
    <row r="136" spans="1:19" s="28" customFormat="1" ht="30" customHeight="1">
      <c r="A136" s="325">
        <f t="shared" si="5"/>
        <v>134</v>
      </c>
      <c r="B136" s="124" t="s">
        <v>250</v>
      </c>
      <c r="C136" s="124" t="s">
        <v>27</v>
      </c>
      <c r="D136" s="124" t="s">
        <v>28</v>
      </c>
      <c r="E136" s="236">
        <v>168700</v>
      </c>
      <c r="F136" s="237">
        <v>348</v>
      </c>
      <c r="G136" s="237">
        <v>62.5</v>
      </c>
      <c r="H136" s="237">
        <v>8.5</v>
      </c>
      <c r="I136" s="124" t="s">
        <v>326</v>
      </c>
      <c r="J136" s="125">
        <v>0.33333333333333331</v>
      </c>
      <c r="K136" s="84">
        <v>42617</v>
      </c>
      <c r="L136" s="125">
        <v>0.66666666666666663</v>
      </c>
      <c r="M136" s="151">
        <v>4152</v>
      </c>
      <c r="N136" s="158" t="s">
        <v>327</v>
      </c>
      <c r="O136" s="124" t="s">
        <v>257</v>
      </c>
      <c r="P136" s="156" t="s">
        <v>32</v>
      </c>
      <c r="Q136" s="157" t="s">
        <v>33</v>
      </c>
      <c r="R136" s="124" t="s">
        <v>34</v>
      </c>
      <c r="S136" s="235"/>
    </row>
    <row r="137" spans="1:19" s="28" customFormat="1" ht="30" customHeight="1">
      <c r="A137" s="325">
        <f t="shared" si="5"/>
        <v>135</v>
      </c>
      <c r="B137" s="145" t="s">
        <v>242</v>
      </c>
      <c r="C137" s="146" t="s">
        <v>206</v>
      </c>
      <c r="D137" s="146" t="s">
        <v>50</v>
      </c>
      <c r="E137" s="296">
        <v>102587</v>
      </c>
      <c r="F137" s="268">
        <v>273</v>
      </c>
      <c r="G137" s="268">
        <v>62</v>
      </c>
      <c r="H137" s="268">
        <v>8.1999999999999993</v>
      </c>
      <c r="I137" s="297" t="s">
        <v>326</v>
      </c>
      <c r="J137" s="125">
        <v>0.27083333333333331</v>
      </c>
      <c r="K137" s="297">
        <v>42617</v>
      </c>
      <c r="L137" s="125">
        <v>0.79166666666666663</v>
      </c>
      <c r="M137" s="155">
        <v>2700</v>
      </c>
      <c r="N137" s="158" t="s">
        <v>68</v>
      </c>
      <c r="O137" s="355" t="s">
        <v>44</v>
      </c>
      <c r="P137" s="156" t="s">
        <v>111</v>
      </c>
      <c r="Q137" s="157" t="s">
        <v>209</v>
      </c>
      <c r="R137" s="124" t="s">
        <v>56</v>
      </c>
      <c r="S137" s="235" t="s">
        <v>325</v>
      </c>
    </row>
    <row r="138" spans="1:19" s="28" customFormat="1" ht="30" customHeight="1">
      <c r="A138" s="325">
        <f t="shared" si="5"/>
        <v>136</v>
      </c>
      <c r="B138" s="145" t="s">
        <v>26</v>
      </c>
      <c r="C138" s="146" t="s">
        <v>27</v>
      </c>
      <c r="D138" s="146" t="s">
        <v>28</v>
      </c>
      <c r="E138" s="147">
        <v>167800</v>
      </c>
      <c r="F138" s="148">
        <v>348</v>
      </c>
      <c r="G138" s="148">
        <v>62.5</v>
      </c>
      <c r="H138" s="148">
        <v>8.5</v>
      </c>
      <c r="I138" s="149" t="s">
        <v>328</v>
      </c>
      <c r="J138" s="150">
        <v>0.29166666666666669</v>
      </c>
      <c r="K138" s="149">
        <v>42618</v>
      </c>
      <c r="L138" s="150">
        <v>0.75</v>
      </c>
      <c r="M138" s="151"/>
      <c r="N138" s="154" t="s">
        <v>44</v>
      </c>
      <c r="O138" s="146" t="s">
        <v>53</v>
      </c>
      <c r="P138" s="152" t="s">
        <v>32</v>
      </c>
      <c r="Q138" s="157" t="s">
        <v>33</v>
      </c>
      <c r="R138" s="124" t="s">
        <v>34</v>
      </c>
      <c r="S138" s="235"/>
    </row>
    <row r="139" spans="1:19" s="28" customFormat="1" ht="30" customHeight="1">
      <c r="A139" s="325">
        <f t="shared" si="5"/>
        <v>137</v>
      </c>
      <c r="B139" s="270" t="s">
        <v>115</v>
      </c>
      <c r="C139" s="270" t="s">
        <v>97</v>
      </c>
      <c r="D139" s="270" t="s">
        <v>116</v>
      </c>
      <c r="E139" s="294">
        <v>115875</v>
      </c>
      <c r="F139" s="291">
        <v>290</v>
      </c>
      <c r="G139" s="291">
        <v>54</v>
      </c>
      <c r="H139" s="291">
        <v>8.5</v>
      </c>
      <c r="I139" s="270" t="s">
        <v>329</v>
      </c>
      <c r="J139" s="273">
        <v>0.33333333333333331</v>
      </c>
      <c r="K139" s="274">
        <v>42620</v>
      </c>
      <c r="L139" s="273">
        <v>0.79166666666666663</v>
      </c>
      <c r="M139" s="275">
        <v>2600</v>
      </c>
      <c r="N139" s="286" t="s">
        <v>82</v>
      </c>
      <c r="O139" s="286" t="s">
        <v>37</v>
      </c>
      <c r="P139" s="270" t="s">
        <v>83</v>
      </c>
      <c r="Q139" s="157" t="s">
        <v>84</v>
      </c>
      <c r="R139" s="124" t="s">
        <v>155</v>
      </c>
      <c r="S139" s="235"/>
    </row>
    <row r="140" spans="1:19" s="28" customFormat="1" ht="30" customHeight="1">
      <c r="A140" s="325">
        <f t="shared" si="5"/>
        <v>138</v>
      </c>
      <c r="B140" s="280" t="s">
        <v>205</v>
      </c>
      <c r="C140" s="281" t="s">
        <v>206</v>
      </c>
      <c r="D140" s="281" t="s">
        <v>50</v>
      </c>
      <c r="E140" s="282">
        <v>75166</v>
      </c>
      <c r="F140" s="283">
        <v>252.37</v>
      </c>
      <c r="G140" s="283">
        <v>51.4</v>
      </c>
      <c r="H140" s="283">
        <v>8</v>
      </c>
      <c r="I140" s="284" t="s">
        <v>329</v>
      </c>
      <c r="J140" s="285">
        <v>0.33333333333333331</v>
      </c>
      <c r="K140" s="284">
        <v>42620</v>
      </c>
      <c r="L140" s="285">
        <v>0.79166666666666663</v>
      </c>
      <c r="M140" s="275">
        <v>1928</v>
      </c>
      <c r="N140" s="286" t="s">
        <v>281</v>
      </c>
      <c r="O140" s="286" t="s">
        <v>217</v>
      </c>
      <c r="P140" s="276" t="s">
        <v>294</v>
      </c>
      <c r="Q140" s="157" t="s">
        <v>55</v>
      </c>
      <c r="R140" s="124" t="s">
        <v>45</v>
      </c>
      <c r="S140" s="235" t="s">
        <v>282</v>
      </c>
    </row>
    <row r="141" spans="1:19" s="28" customFormat="1" ht="30" customHeight="1">
      <c r="A141" s="325">
        <f t="shared" si="5"/>
        <v>139</v>
      </c>
      <c r="B141" s="287" t="s">
        <v>66</v>
      </c>
      <c r="C141" s="270" t="s">
        <v>27</v>
      </c>
      <c r="D141" s="270" t="s">
        <v>28</v>
      </c>
      <c r="E141" s="288">
        <v>138279</v>
      </c>
      <c r="F141" s="283">
        <v>311</v>
      </c>
      <c r="G141" s="283">
        <v>63.45</v>
      </c>
      <c r="H141" s="283">
        <v>8.8000000000000007</v>
      </c>
      <c r="I141" s="274" t="s">
        <v>330</v>
      </c>
      <c r="J141" s="289">
        <v>0.375</v>
      </c>
      <c r="K141" s="274">
        <v>42621</v>
      </c>
      <c r="L141" s="273">
        <v>0.79166666666666663</v>
      </c>
      <c r="M141" s="288">
        <v>3114</v>
      </c>
      <c r="N141" s="286" t="s">
        <v>44</v>
      </c>
      <c r="O141" s="281" t="s">
        <v>53</v>
      </c>
      <c r="P141" s="276" t="s">
        <v>32</v>
      </c>
      <c r="Q141" s="157" t="s">
        <v>33</v>
      </c>
      <c r="R141" s="124" t="s">
        <v>155</v>
      </c>
      <c r="S141" s="235"/>
    </row>
    <row r="142" spans="1:19" s="28" customFormat="1" ht="30" customHeight="1">
      <c r="A142" s="325">
        <f t="shared" si="5"/>
        <v>140</v>
      </c>
      <c r="B142" s="270" t="s">
        <v>48</v>
      </c>
      <c r="C142" s="270" t="s">
        <v>158</v>
      </c>
      <c r="D142" s="270" t="s">
        <v>159</v>
      </c>
      <c r="E142" s="294">
        <v>85619</v>
      </c>
      <c r="F142" s="291">
        <v>290</v>
      </c>
      <c r="G142" s="291">
        <v>55</v>
      </c>
      <c r="H142" s="291">
        <v>8</v>
      </c>
      <c r="I142" s="274" t="s">
        <v>330</v>
      </c>
      <c r="J142" s="289">
        <v>0.52083333333333337</v>
      </c>
      <c r="K142" s="274">
        <v>42621</v>
      </c>
      <c r="L142" s="292">
        <v>0.89583333333333337</v>
      </c>
      <c r="M142" s="275">
        <v>2114</v>
      </c>
      <c r="N142" s="286" t="s">
        <v>52</v>
      </c>
      <c r="O142" s="281" t="s">
        <v>37</v>
      </c>
      <c r="P142" s="270" t="s">
        <v>111</v>
      </c>
      <c r="Q142" s="157" t="s">
        <v>55</v>
      </c>
      <c r="R142" s="124" t="s">
        <v>45</v>
      </c>
      <c r="S142" s="235"/>
    </row>
    <row r="143" spans="1:19" s="28" customFormat="1" ht="30" customHeight="1">
      <c r="A143" s="325">
        <f t="shared" si="5"/>
        <v>141</v>
      </c>
      <c r="B143" s="295" t="s">
        <v>95</v>
      </c>
      <c r="C143" s="269" t="s">
        <v>158</v>
      </c>
      <c r="D143" s="269" t="s">
        <v>159</v>
      </c>
      <c r="E143" s="296">
        <v>114147</v>
      </c>
      <c r="F143" s="268">
        <v>290</v>
      </c>
      <c r="G143" s="268">
        <v>63</v>
      </c>
      <c r="H143" s="268">
        <v>8.3000000000000007</v>
      </c>
      <c r="I143" s="297" t="s">
        <v>331</v>
      </c>
      <c r="J143" s="298">
        <v>0.33333333333333331</v>
      </c>
      <c r="K143" s="297">
        <v>42622</v>
      </c>
      <c r="L143" s="298">
        <v>0.79166666666666663</v>
      </c>
      <c r="M143" s="155">
        <v>2702</v>
      </c>
      <c r="N143" s="158" t="s">
        <v>68</v>
      </c>
      <c r="O143" s="158" t="s">
        <v>53</v>
      </c>
      <c r="P143" s="156" t="s">
        <v>294</v>
      </c>
      <c r="Q143" s="157" t="s">
        <v>209</v>
      </c>
      <c r="R143" s="124" t="s">
        <v>155</v>
      </c>
      <c r="S143" s="235"/>
    </row>
    <row r="144" spans="1:19" s="28" customFormat="1" ht="30" customHeight="1">
      <c r="A144" s="325">
        <f t="shared" si="5"/>
        <v>142</v>
      </c>
      <c r="B144" s="145" t="s">
        <v>26</v>
      </c>
      <c r="C144" s="146" t="s">
        <v>27</v>
      </c>
      <c r="D144" s="146" t="s">
        <v>28</v>
      </c>
      <c r="E144" s="147">
        <v>167800</v>
      </c>
      <c r="F144" s="148">
        <v>348</v>
      </c>
      <c r="G144" s="148">
        <v>62.5</v>
      </c>
      <c r="H144" s="148">
        <v>8.5</v>
      </c>
      <c r="I144" s="149" t="s">
        <v>332</v>
      </c>
      <c r="J144" s="150">
        <v>0.29166666666666669</v>
      </c>
      <c r="K144" s="149">
        <v>42623</v>
      </c>
      <c r="L144" s="150">
        <v>0.625</v>
      </c>
      <c r="M144" s="151">
        <v>4152</v>
      </c>
      <c r="N144" s="154" t="s">
        <v>44</v>
      </c>
      <c r="O144" s="146" t="s">
        <v>333</v>
      </c>
      <c r="P144" s="152" t="s">
        <v>32</v>
      </c>
      <c r="Q144" s="157" t="s">
        <v>33</v>
      </c>
      <c r="R144" s="124" t="s">
        <v>34</v>
      </c>
      <c r="S144" s="235"/>
    </row>
    <row r="145" spans="1:20" s="28" customFormat="1" ht="30" customHeight="1">
      <c r="A145" s="325">
        <f t="shared" si="5"/>
        <v>143</v>
      </c>
      <c r="B145" s="295" t="s">
        <v>205</v>
      </c>
      <c r="C145" s="269" t="s">
        <v>206</v>
      </c>
      <c r="D145" s="269" t="s">
        <v>50</v>
      </c>
      <c r="E145" s="296">
        <v>75166</v>
      </c>
      <c r="F145" s="268">
        <v>252.37</v>
      </c>
      <c r="G145" s="268">
        <v>51.4</v>
      </c>
      <c r="H145" s="268">
        <v>8</v>
      </c>
      <c r="I145" s="297" t="s">
        <v>334</v>
      </c>
      <c r="J145" s="298">
        <v>0.33333333333333331</v>
      </c>
      <c r="K145" s="297">
        <v>42625</v>
      </c>
      <c r="L145" s="298">
        <v>0.79166666666666663</v>
      </c>
      <c r="M145" s="155">
        <v>1928</v>
      </c>
      <c r="N145" s="158" t="s">
        <v>281</v>
      </c>
      <c r="O145" s="158" t="s">
        <v>53</v>
      </c>
      <c r="P145" s="156" t="s">
        <v>294</v>
      </c>
      <c r="Q145" s="157" t="s">
        <v>209</v>
      </c>
      <c r="R145" s="124" t="s">
        <v>45</v>
      </c>
      <c r="S145" s="235" t="s">
        <v>282</v>
      </c>
    </row>
    <row r="146" spans="1:20" s="28" customFormat="1" ht="30" customHeight="1">
      <c r="A146" s="325">
        <f t="shared" si="5"/>
        <v>144</v>
      </c>
      <c r="B146" s="124" t="s">
        <v>145</v>
      </c>
      <c r="C146" s="124" t="s">
        <v>97</v>
      </c>
      <c r="D146" s="124" t="s">
        <v>146</v>
      </c>
      <c r="E146" s="236">
        <v>115875</v>
      </c>
      <c r="F146" s="237">
        <v>290</v>
      </c>
      <c r="G146" s="268">
        <v>54</v>
      </c>
      <c r="H146" s="268">
        <v>8.5</v>
      </c>
      <c r="I146" s="84" t="s">
        <v>335</v>
      </c>
      <c r="J146" s="125">
        <v>0.60416666666666663</v>
      </c>
      <c r="K146" s="84">
        <v>42626</v>
      </c>
      <c r="L146" s="125">
        <v>0.85416666666666663</v>
      </c>
      <c r="M146" s="155">
        <v>2600</v>
      </c>
      <c r="N146" s="158" t="s">
        <v>312</v>
      </c>
      <c r="O146" s="158" t="s">
        <v>37</v>
      </c>
      <c r="P146" s="124" t="s">
        <v>169</v>
      </c>
      <c r="Q146" s="157" t="s">
        <v>84</v>
      </c>
      <c r="R146" s="124" t="s">
        <v>155</v>
      </c>
      <c r="S146" s="235"/>
    </row>
    <row r="147" spans="1:20" s="28" customFormat="1" ht="30" customHeight="1">
      <c r="A147" s="325">
        <f t="shared" si="5"/>
        <v>145</v>
      </c>
      <c r="B147" s="270" t="s">
        <v>180</v>
      </c>
      <c r="C147" s="270" t="s">
        <v>181</v>
      </c>
      <c r="D147" s="270" t="s">
        <v>193</v>
      </c>
      <c r="E147" s="271">
        <v>65591</v>
      </c>
      <c r="F147" s="291">
        <v>274.89999999999998</v>
      </c>
      <c r="G147" s="291">
        <v>47</v>
      </c>
      <c r="H147" s="291">
        <v>6.8</v>
      </c>
      <c r="I147" s="274" t="s">
        <v>336</v>
      </c>
      <c r="J147" s="289">
        <v>0.4375</v>
      </c>
      <c r="K147" s="274">
        <v>42627</v>
      </c>
      <c r="L147" s="292">
        <v>0.77083333333333337</v>
      </c>
      <c r="M147" s="275">
        <v>2700</v>
      </c>
      <c r="N147" s="286" t="s">
        <v>337</v>
      </c>
      <c r="O147" s="286" t="s">
        <v>53</v>
      </c>
      <c r="P147" s="270" t="s">
        <v>238</v>
      </c>
      <c r="Q147" s="157" t="s">
        <v>239</v>
      </c>
      <c r="R147" s="124" t="s">
        <v>56</v>
      </c>
      <c r="S147" s="235"/>
    </row>
    <row r="148" spans="1:20" s="28" customFormat="1" ht="30" customHeight="1">
      <c r="A148" s="325">
        <f t="shared" si="5"/>
        <v>146</v>
      </c>
      <c r="B148" s="270" t="s">
        <v>205</v>
      </c>
      <c r="C148" s="270" t="s">
        <v>206</v>
      </c>
      <c r="D148" s="270" t="s">
        <v>50</v>
      </c>
      <c r="E148" s="271">
        <v>75166</v>
      </c>
      <c r="F148" s="291">
        <v>252.37</v>
      </c>
      <c r="G148" s="283">
        <v>51.4</v>
      </c>
      <c r="H148" s="283">
        <v>8</v>
      </c>
      <c r="I148" s="274" t="s">
        <v>336</v>
      </c>
      <c r="J148" s="289">
        <v>0.375</v>
      </c>
      <c r="K148" s="274">
        <v>42627</v>
      </c>
      <c r="L148" s="292">
        <v>0.70833333333333337</v>
      </c>
      <c r="M148" s="275"/>
      <c r="N148" s="286"/>
      <c r="O148" s="286" t="s">
        <v>184</v>
      </c>
      <c r="P148" s="270" t="s">
        <v>111</v>
      </c>
      <c r="Q148" s="157" t="s">
        <v>55</v>
      </c>
      <c r="R148" s="124" t="s">
        <v>45</v>
      </c>
      <c r="S148" s="235" t="s">
        <v>338</v>
      </c>
    </row>
    <row r="149" spans="1:20" s="28" customFormat="1" ht="30" customHeight="1">
      <c r="A149" s="325">
        <f t="shared" si="5"/>
        <v>147</v>
      </c>
      <c r="B149" s="280" t="s">
        <v>26</v>
      </c>
      <c r="C149" s="281" t="s">
        <v>27</v>
      </c>
      <c r="D149" s="281" t="s">
        <v>28</v>
      </c>
      <c r="E149" s="282">
        <v>167800</v>
      </c>
      <c r="F149" s="283">
        <v>348</v>
      </c>
      <c r="G149" s="283">
        <v>62.5</v>
      </c>
      <c r="H149" s="283">
        <v>8.5</v>
      </c>
      <c r="I149" s="284" t="s">
        <v>339</v>
      </c>
      <c r="J149" s="285">
        <v>0.41666666666666669</v>
      </c>
      <c r="K149" s="284">
        <v>42629</v>
      </c>
      <c r="L149" s="285">
        <v>0.83333333333333337</v>
      </c>
      <c r="M149" s="275">
        <v>4152</v>
      </c>
      <c r="N149" s="286" t="s">
        <v>37</v>
      </c>
      <c r="O149" s="281" t="s">
        <v>44</v>
      </c>
      <c r="P149" s="276" t="s">
        <v>32</v>
      </c>
      <c r="Q149" s="157" t="s">
        <v>33</v>
      </c>
      <c r="R149" s="124" t="s">
        <v>34</v>
      </c>
      <c r="S149" s="235"/>
    </row>
    <row r="150" spans="1:20" s="28" customFormat="1" ht="30" customHeight="1">
      <c r="A150" s="325">
        <f t="shared" si="5"/>
        <v>148</v>
      </c>
      <c r="B150" s="270" t="s">
        <v>115</v>
      </c>
      <c r="C150" s="270" t="s">
        <v>97</v>
      </c>
      <c r="D150" s="270" t="s">
        <v>116</v>
      </c>
      <c r="E150" s="294">
        <v>115875</v>
      </c>
      <c r="F150" s="291">
        <v>290</v>
      </c>
      <c r="G150" s="291">
        <v>54</v>
      </c>
      <c r="H150" s="291">
        <v>8.5</v>
      </c>
      <c r="I150" s="270" t="s">
        <v>339</v>
      </c>
      <c r="J150" s="273">
        <v>0.33333333333333331</v>
      </c>
      <c r="K150" s="274">
        <v>42629</v>
      </c>
      <c r="L150" s="273">
        <v>0.79166666666666663</v>
      </c>
      <c r="M150" s="275">
        <v>2600</v>
      </c>
      <c r="N150" s="286" t="s">
        <v>82</v>
      </c>
      <c r="O150" s="286" t="s">
        <v>37</v>
      </c>
      <c r="P150" s="270" t="s">
        <v>83</v>
      </c>
      <c r="Q150" s="157" t="s">
        <v>84</v>
      </c>
      <c r="R150" s="124" t="s">
        <v>155</v>
      </c>
      <c r="S150" s="235"/>
    </row>
    <row r="151" spans="1:20" s="28" customFormat="1" ht="30" customHeight="1">
      <c r="A151" s="325">
        <f t="shared" si="5"/>
        <v>149</v>
      </c>
      <c r="B151" s="270" t="s">
        <v>250</v>
      </c>
      <c r="C151" s="270" t="s">
        <v>27</v>
      </c>
      <c r="D151" s="270" t="s">
        <v>28</v>
      </c>
      <c r="E151" s="294">
        <v>168700</v>
      </c>
      <c r="F151" s="291">
        <v>348</v>
      </c>
      <c r="G151" s="291">
        <v>62.5</v>
      </c>
      <c r="H151" s="291">
        <v>8.5</v>
      </c>
      <c r="I151" s="270" t="s">
        <v>340</v>
      </c>
      <c r="J151" s="273">
        <v>0.33333333333333331</v>
      </c>
      <c r="K151" s="274">
        <v>42631</v>
      </c>
      <c r="L151" s="273">
        <v>0.70833333333333337</v>
      </c>
      <c r="M151" s="275">
        <v>4152</v>
      </c>
      <c r="N151" s="286" t="s">
        <v>276</v>
      </c>
      <c r="O151" s="270" t="s">
        <v>257</v>
      </c>
      <c r="P151" s="276" t="s">
        <v>32</v>
      </c>
      <c r="Q151" s="157" t="s">
        <v>33</v>
      </c>
      <c r="R151" s="124" t="s">
        <v>34</v>
      </c>
      <c r="S151" s="235"/>
    </row>
    <row r="152" spans="1:20" s="28" customFormat="1" ht="30" customHeight="1">
      <c r="A152" s="325">
        <f t="shared" si="5"/>
        <v>150</v>
      </c>
      <c r="B152" s="270" t="s">
        <v>205</v>
      </c>
      <c r="C152" s="270" t="s">
        <v>206</v>
      </c>
      <c r="D152" s="270" t="s">
        <v>50</v>
      </c>
      <c r="E152" s="271">
        <v>75166</v>
      </c>
      <c r="F152" s="291">
        <v>252.37</v>
      </c>
      <c r="G152" s="283">
        <v>51.4</v>
      </c>
      <c r="H152" s="283">
        <v>8</v>
      </c>
      <c r="I152" s="270" t="s">
        <v>340</v>
      </c>
      <c r="J152" s="273">
        <v>0.375</v>
      </c>
      <c r="K152" s="274">
        <v>42631</v>
      </c>
      <c r="L152" s="273">
        <v>0.75</v>
      </c>
      <c r="M152" s="275"/>
      <c r="N152" s="286" t="s">
        <v>341</v>
      </c>
      <c r="O152" s="270"/>
      <c r="P152" s="276" t="s">
        <v>111</v>
      </c>
      <c r="Q152" s="157" t="s">
        <v>55</v>
      </c>
      <c r="R152" s="124" t="s">
        <v>45</v>
      </c>
      <c r="S152" s="235" t="s">
        <v>46</v>
      </c>
    </row>
    <row r="153" spans="1:20" s="28" customFormat="1" ht="30" customHeight="1">
      <c r="A153" s="325">
        <f t="shared" si="5"/>
        <v>151</v>
      </c>
      <c r="B153" s="124" t="s">
        <v>180</v>
      </c>
      <c r="C153" s="124" t="s">
        <v>181</v>
      </c>
      <c r="D153" s="124" t="s">
        <v>193</v>
      </c>
      <c r="E153" s="157">
        <v>65591</v>
      </c>
      <c r="F153" s="237">
        <v>274.89999999999998</v>
      </c>
      <c r="G153" s="237">
        <v>47</v>
      </c>
      <c r="H153" s="237">
        <v>6.8</v>
      </c>
      <c r="I153" s="84" t="s">
        <v>342</v>
      </c>
      <c r="J153" s="85">
        <v>0.5</v>
      </c>
      <c r="K153" s="84">
        <v>42632</v>
      </c>
      <c r="L153" s="86">
        <v>0.79166666666666663</v>
      </c>
      <c r="M153" s="155">
        <v>2700</v>
      </c>
      <c r="N153" s="158" t="s">
        <v>337</v>
      </c>
      <c r="O153" s="158" t="s">
        <v>343</v>
      </c>
      <c r="P153" s="124" t="s">
        <v>238</v>
      </c>
      <c r="Q153" s="157" t="s">
        <v>239</v>
      </c>
      <c r="R153" s="124" t="s">
        <v>45</v>
      </c>
      <c r="S153" s="235"/>
    </row>
    <row r="154" spans="1:20" s="28" customFormat="1" ht="30" customHeight="1">
      <c r="A154" s="325">
        <f t="shared" si="5"/>
        <v>152</v>
      </c>
      <c r="B154" s="234" t="s">
        <v>145</v>
      </c>
      <c r="C154" s="234" t="s">
        <v>97</v>
      </c>
      <c r="D154" s="234" t="s">
        <v>146</v>
      </c>
      <c r="E154" s="362">
        <v>115875</v>
      </c>
      <c r="F154" s="363">
        <v>290</v>
      </c>
      <c r="G154" s="385">
        <v>54</v>
      </c>
      <c r="H154" s="385">
        <v>8.5</v>
      </c>
      <c r="I154" s="232" t="s">
        <v>342</v>
      </c>
      <c r="J154" s="364">
        <v>0.64583333333333337</v>
      </c>
      <c r="K154" s="232">
        <v>42633</v>
      </c>
      <c r="L154" s="364">
        <v>0.89583333333333337</v>
      </c>
      <c r="M154" s="386">
        <v>2600</v>
      </c>
      <c r="N154" s="366" t="s">
        <v>312</v>
      </c>
      <c r="O154" s="366" t="s">
        <v>37</v>
      </c>
      <c r="P154" s="234" t="s">
        <v>169</v>
      </c>
      <c r="Q154" s="365" t="s">
        <v>84</v>
      </c>
      <c r="R154" s="234" t="s">
        <v>155</v>
      </c>
      <c r="S154" s="367" t="s">
        <v>423</v>
      </c>
    </row>
    <row r="155" spans="1:20" s="28" customFormat="1" ht="30" customHeight="1">
      <c r="A155" s="325">
        <f t="shared" si="5"/>
        <v>153</v>
      </c>
      <c r="B155" s="127" t="s">
        <v>115</v>
      </c>
      <c r="C155" s="127" t="s">
        <v>97</v>
      </c>
      <c r="D155" s="127" t="s">
        <v>116</v>
      </c>
      <c r="E155" s="278">
        <v>115875</v>
      </c>
      <c r="F155" s="279">
        <v>290</v>
      </c>
      <c r="G155" s="387">
        <v>54</v>
      </c>
      <c r="H155" s="387">
        <v>8.5</v>
      </c>
      <c r="I155" s="127" t="s">
        <v>344</v>
      </c>
      <c r="J155" s="128">
        <v>0.33333333333333331</v>
      </c>
      <c r="K155" s="129">
        <v>42634</v>
      </c>
      <c r="L155" s="368">
        <v>0.70833333333333337</v>
      </c>
      <c r="M155" s="238">
        <v>2600</v>
      </c>
      <c r="N155" s="143" t="s">
        <v>82</v>
      </c>
      <c r="O155" s="143" t="s">
        <v>184</v>
      </c>
      <c r="P155" s="127" t="s">
        <v>83</v>
      </c>
      <c r="Q155" s="261" t="s">
        <v>84</v>
      </c>
      <c r="R155" s="127" t="s">
        <v>155</v>
      </c>
      <c r="S155" s="263"/>
    </row>
    <row r="156" spans="1:20" s="28" customFormat="1" ht="30" customHeight="1">
      <c r="A156" s="325">
        <f t="shared" si="5"/>
        <v>154</v>
      </c>
      <c r="B156" s="301" t="s">
        <v>66</v>
      </c>
      <c r="C156" s="124" t="s">
        <v>27</v>
      </c>
      <c r="D156" s="124" t="s">
        <v>28</v>
      </c>
      <c r="E156" s="240">
        <v>138279</v>
      </c>
      <c r="F156" s="268">
        <v>311</v>
      </c>
      <c r="G156" s="268">
        <v>63.45</v>
      </c>
      <c r="H156" s="268">
        <v>8.8000000000000007</v>
      </c>
      <c r="I156" s="84" t="s">
        <v>345</v>
      </c>
      <c r="J156" s="85">
        <v>0.375</v>
      </c>
      <c r="K156" s="84">
        <v>42636</v>
      </c>
      <c r="L156" s="125">
        <v>0.70833333333333337</v>
      </c>
      <c r="M156" s="240">
        <v>3114</v>
      </c>
      <c r="N156" s="158" t="s">
        <v>68</v>
      </c>
      <c r="O156" s="269" t="s">
        <v>37</v>
      </c>
      <c r="P156" s="156" t="s">
        <v>32</v>
      </c>
      <c r="Q156" s="157" t="s">
        <v>33</v>
      </c>
      <c r="R156" s="124" t="s">
        <v>155</v>
      </c>
      <c r="S156" s="235"/>
    </row>
    <row r="157" spans="1:20" s="28" customFormat="1" ht="30" customHeight="1">
      <c r="A157" s="325">
        <f t="shared" si="5"/>
        <v>155</v>
      </c>
      <c r="B157" s="270" t="s">
        <v>180</v>
      </c>
      <c r="C157" s="270" t="s">
        <v>181</v>
      </c>
      <c r="D157" s="270" t="s">
        <v>193</v>
      </c>
      <c r="E157" s="271">
        <v>65591</v>
      </c>
      <c r="F157" s="291">
        <v>274.89999999999998</v>
      </c>
      <c r="G157" s="291">
        <v>47</v>
      </c>
      <c r="H157" s="291">
        <v>6.8</v>
      </c>
      <c r="I157" s="274" t="s">
        <v>346</v>
      </c>
      <c r="J157" s="289">
        <v>0.5</v>
      </c>
      <c r="K157" s="274">
        <v>42637</v>
      </c>
      <c r="L157" s="292">
        <v>0.79166666666666663</v>
      </c>
      <c r="M157" s="275">
        <v>2700</v>
      </c>
      <c r="N157" s="286" t="s">
        <v>184</v>
      </c>
      <c r="O157" s="286" t="s">
        <v>343</v>
      </c>
      <c r="P157" s="270" t="s">
        <v>238</v>
      </c>
      <c r="Q157" s="157" t="s">
        <v>239</v>
      </c>
      <c r="R157" s="124" t="s">
        <v>45</v>
      </c>
      <c r="S157" s="235"/>
      <c r="T157" s="161"/>
    </row>
    <row r="158" spans="1:20" s="28" customFormat="1" ht="30" customHeight="1">
      <c r="A158" s="325">
        <f t="shared" si="5"/>
        <v>156</v>
      </c>
      <c r="B158" s="280" t="s">
        <v>250</v>
      </c>
      <c r="C158" s="281" t="s">
        <v>27</v>
      </c>
      <c r="D158" s="281" t="s">
        <v>28</v>
      </c>
      <c r="E158" s="282">
        <v>168700</v>
      </c>
      <c r="F158" s="283">
        <v>348</v>
      </c>
      <c r="G158" s="291">
        <v>62.5</v>
      </c>
      <c r="H158" s="291">
        <v>8.5</v>
      </c>
      <c r="I158" s="284" t="s">
        <v>346</v>
      </c>
      <c r="J158" s="285">
        <v>0.375</v>
      </c>
      <c r="K158" s="284">
        <v>42637</v>
      </c>
      <c r="L158" s="285">
        <v>0.70833333333333337</v>
      </c>
      <c r="M158" s="275">
        <v>4152</v>
      </c>
      <c r="N158" s="286" t="s">
        <v>30</v>
      </c>
      <c r="O158" s="281" t="s">
        <v>197</v>
      </c>
      <c r="P158" s="276" t="s">
        <v>32</v>
      </c>
      <c r="Q158" s="157" t="s">
        <v>33</v>
      </c>
      <c r="R158" s="124" t="s">
        <v>34</v>
      </c>
      <c r="S158" s="235"/>
    </row>
    <row r="159" spans="1:20" s="28" customFormat="1" ht="30" customHeight="1">
      <c r="A159" s="325">
        <f t="shared" si="5"/>
        <v>157</v>
      </c>
      <c r="B159" s="270" t="s">
        <v>429</v>
      </c>
      <c r="C159" s="270" t="s">
        <v>126</v>
      </c>
      <c r="D159" s="270" t="s">
        <v>127</v>
      </c>
      <c r="E159" s="271">
        <v>50142</v>
      </c>
      <c r="F159" s="291">
        <v>241</v>
      </c>
      <c r="G159" s="291">
        <v>45</v>
      </c>
      <c r="H159" s="291">
        <v>7.8</v>
      </c>
      <c r="I159" s="274" t="s">
        <v>347</v>
      </c>
      <c r="J159" s="289">
        <v>0.35416666666666669</v>
      </c>
      <c r="K159" s="274">
        <v>42638</v>
      </c>
      <c r="L159" s="292">
        <v>0.70833333333333337</v>
      </c>
      <c r="M159" s="275">
        <v>1100</v>
      </c>
      <c r="N159" s="286" t="s">
        <v>427</v>
      </c>
      <c r="O159" s="286" t="s">
        <v>428</v>
      </c>
      <c r="P159" s="270" t="s">
        <v>126</v>
      </c>
      <c r="Q159" s="157" t="s">
        <v>131</v>
      </c>
      <c r="R159" s="124" t="s">
        <v>45</v>
      </c>
      <c r="S159" s="235"/>
    </row>
    <row r="160" spans="1:20" s="28" customFormat="1" ht="30" customHeight="1">
      <c r="A160" s="325">
        <f t="shared" si="5"/>
        <v>158</v>
      </c>
      <c r="B160" s="270" t="s">
        <v>39</v>
      </c>
      <c r="C160" s="270" t="s">
        <v>40</v>
      </c>
      <c r="D160" s="270" t="s">
        <v>41</v>
      </c>
      <c r="E160" s="294">
        <v>72458</v>
      </c>
      <c r="F160" s="291">
        <v>245</v>
      </c>
      <c r="G160" s="291"/>
      <c r="H160" s="291">
        <v>7.5</v>
      </c>
      <c r="I160" s="274" t="s">
        <v>347</v>
      </c>
      <c r="J160" s="289">
        <v>0.33333333333333331</v>
      </c>
      <c r="K160" s="274">
        <v>42638</v>
      </c>
      <c r="L160" s="292">
        <v>0.70833333333333337</v>
      </c>
      <c r="M160" s="275">
        <v>1778</v>
      </c>
      <c r="N160" s="286" t="s">
        <v>44</v>
      </c>
      <c r="O160" s="281" t="s">
        <v>53</v>
      </c>
      <c r="P160" s="270" t="s">
        <v>32</v>
      </c>
      <c r="Q160" s="157" t="s">
        <v>33</v>
      </c>
      <c r="R160" s="124" t="s">
        <v>155</v>
      </c>
      <c r="S160" s="235"/>
    </row>
    <row r="161" spans="1:19" s="28" customFormat="1" ht="30" customHeight="1">
      <c r="A161" s="14">
        <f t="shared" si="5"/>
        <v>159</v>
      </c>
      <c r="B161" s="54" t="s">
        <v>115</v>
      </c>
      <c r="C161" s="54" t="s">
        <v>97</v>
      </c>
      <c r="D161" s="54" t="s">
        <v>116</v>
      </c>
      <c r="E161" s="62">
        <v>115875</v>
      </c>
      <c r="F161" s="63">
        <v>290</v>
      </c>
      <c r="G161" s="64">
        <v>54</v>
      </c>
      <c r="H161" s="64">
        <v>8.5</v>
      </c>
      <c r="I161" s="54" t="s">
        <v>348</v>
      </c>
      <c r="J161" s="55">
        <v>0.33333333333333331</v>
      </c>
      <c r="K161" s="56">
        <v>42639</v>
      </c>
      <c r="L161" s="55">
        <v>0.79166666666666663</v>
      </c>
      <c r="M161" s="22">
        <v>2600</v>
      </c>
      <c r="N161" s="65" t="s">
        <v>82</v>
      </c>
      <c r="O161" s="65" t="s">
        <v>129</v>
      </c>
      <c r="P161" s="54" t="s">
        <v>83</v>
      </c>
      <c r="Q161" s="24" t="s">
        <v>84</v>
      </c>
      <c r="R161" s="124" t="s">
        <v>155</v>
      </c>
      <c r="S161" s="27"/>
    </row>
    <row r="162" spans="1:19" s="28" customFormat="1" ht="30" customHeight="1">
      <c r="A162" s="14">
        <f t="shared" si="5"/>
        <v>160</v>
      </c>
      <c r="B162" s="54" t="s">
        <v>100</v>
      </c>
      <c r="C162" s="54" t="s">
        <v>27</v>
      </c>
      <c r="D162" s="54" t="s">
        <v>41</v>
      </c>
      <c r="E162" s="62">
        <v>90963</v>
      </c>
      <c r="F162" s="63">
        <v>294</v>
      </c>
      <c r="G162" s="64">
        <v>54</v>
      </c>
      <c r="H162" s="64">
        <v>8.3000000000000007</v>
      </c>
      <c r="I162" s="54" t="s">
        <v>349</v>
      </c>
      <c r="J162" s="55">
        <v>0.33333333333333331</v>
      </c>
      <c r="K162" s="56">
        <v>42640</v>
      </c>
      <c r="L162" s="55">
        <v>0.91666666666666663</v>
      </c>
      <c r="M162" s="22">
        <v>2138</v>
      </c>
      <c r="N162" s="54" t="s">
        <v>82</v>
      </c>
      <c r="O162" s="65" t="s">
        <v>44</v>
      </c>
      <c r="P162" s="23" t="s">
        <v>32</v>
      </c>
      <c r="Q162" s="24" t="s">
        <v>33</v>
      </c>
      <c r="R162" s="124" t="s">
        <v>155</v>
      </c>
      <c r="S162" s="27"/>
    </row>
    <row r="163" spans="1:19" s="28" customFormat="1" ht="30" customHeight="1">
      <c r="A163" s="14">
        <f t="shared" si="5"/>
        <v>161</v>
      </c>
      <c r="B163" s="54" t="s">
        <v>250</v>
      </c>
      <c r="C163" s="54" t="s">
        <v>27</v>
      </c>
      <c r="D163" s="54" t="s">
        <v>28</v>
      </c>
      <c r="E163" s="62">
        <v>168700</v>
      </c>
      <c r="F163" s="63">
        <v>348</v>
      </c>
      <c r="G163" s="64">
        <v>62.5</v>
      </c>
      <c r="H163" s="64">
        <v>8.5</v>
      </c>
      <c r="I163" s="54" t="s">
        <v>350</v>
      </c>
      <c r="J163" s="55">
        <v>0.29166666666666669</v>
      </c>
      <c r="K163" s="56">
        <v>42642</v>
      </c>
      <c r="L163" s="55">
        <v>0.70833333333333337</v>
      </c>
      <c r="M163" s="39">
        <v>4152</v>
      </c>
      <c r="N163" s="65" t="s">
        <v>53</v>
      </c>
      <c r="O163" s="65" t="s">
        <v>310</v>
      </c>
      <c r="P163" s="23" t="s">
        <v>32</v>
      </c>
      <c r="Q163" s="24" t="s">
        <v>33</v>
      </c>
      <c r="R163" s="26" t="s">
        <v>34</v>
      </c>
      <c r="S163" s="27"/>
    </row>
    <row r="164" spans="1:19" s="28" customFormat="1" ht="30" customHeight="1" thickBot="1">
      <c r="A164" s="14">
        <f t="shared" si="5"/>
        <v>162</v>
      </c>
      <c r="B164" s="162" t="s">
        <v>66</v>
      </c>
      <c r="C164" s="126" t="s">
        <v>27</v>
      </c>
      <c r="D164" s="126" t="s">
        <v>28</v>
      </c>
      <c r="E164" s="163">
        <v>138279</v>
      </c>
      <c r="F164" s="93">
        <v>311</v>
      </c>
      <c r="G164" s="94">
        <v>63.45</v>
      </c>
      <c r="H164" s="94">
        <v>8.8000000000000007</v>
      </c>
      <c r="I164" s="164" t="s">
        <v>351</v>
      </c>
      <c r="J164" s="165">
        <v>0.54166666666666663</v>
      </c>
      <c r="K164" s="164">
        <v>42643</v>
      </c>
      <c r="L164" s="166">
        <v>0.79166666666666663</v>
      </c>
      <c r="M164" s="167">
        <v>3114</v>
      </c>
      <c r="N164" s="73" t="s">
        <v>37</v>
      </c>
      <c r="O164" s="92" t="s">
        <v>68</v>
      </c>
      <c r="P164" s="43" t="s">
        <v>32</v>
      </c>
      <c r="Q164" s="44" t="s">
        <v>33</v>
      </c>
      <c r="R164" s="168" t="s">
        <v>155</v>
      </c>
      <c r="S164" s="46"/>
    </row>
    <row r="165" spans="1:19" s="28" customFormat="1" ht="30" customHeight="1">
      <c r="A165" s="14">
        <f t="shared" si="5"/>
        <v>163</v>
      </c>
      <c r="B165" s="74" t="s">
        <v>250</v>
      </c>
      <c r="C165" s="74" t="s">
        <v>27</v>
      </c>
      <c r="D165" s="74" t="s">
        <v>28</v>
      </c>
      <c r="E165" s="75">
        <v>168700</v>
      </c>
      <c r="F165" s="76">
        <v>348</v>
      </c>
      <c r="G165" s="77">
        <v>62.5</v>
      </c>
      <c r="H165" s="77">
        <v>8.5</v>
      </c>
      <c r="I165" s="79" t="s">
        <v>352</v>
      </c>
      <c r="J165" s="78">
        <v>0.41666666666666669</v>
      </c>
      <c r="K165" s="79">
        <v>42646</v>
      </c>
      <c r="L165" s="78">
        <v>0.83333333333333337</v>
      </c>
      <c r="M165" s="49">
        <v>4152</v>
      </c>
      <c r="N165" s="130" t="s">
        <v>257</v>
      </c>
      <c r="O165" s="130" t="s">
        <v>327</v>
      </c>
      <c r="P165" s="50" t="s">
        <v>32</v>
      </c>
      <c r="Q165" s="51" t="s">
        <v>33</v>
      </c>
      <c r="R165" s="52" t="s">
        <v>34</v>
      </c>
      <c r="S165" s="53"/>
    </row>
    <row r="166" spans="1:19" s="28" customFormat="1" ht="30" customHeight="1">
      <c r="A166" s="403">
        <f t="shared" si="5"/>
        <v>164</v>
      </c>
      <c r="B166" s="404" t="s">
        <v>205</v>
      </c>
      <c r="C166" s="405" t="s">
        <v>206</v>
      </c>
      <c r="D166" s="405" t="s">
        <v>50</v>
      </c>
      <c r="E166" s="406">
        <v>75166</v>
      </c>
      <c r="F166" s="407">
        <v>252.37</v>
      </c>
      <c r="G166" s="407">
        <v>51.4</v>
      </c>
      <c r="H166" s="407">
        <v>8</v>
      </c>
      <c r="I166" s="408" t="s">
        <v>353</v>
      </c>
      <c r="J166" s="409">
        <v>0.33333333333333331</v>
      </c>
      <c r="K166" s="408" t="s">
        <v>353</v>
      </c>
      <c r="L166" s="409">
        <v>0.79166666666666663</v>
      </c>
      <c r="M166" s="410">
        <v>1928</v>
      </c>
      <c r="N166" s="40" t="s">
        <v>44</v>
      </c>
      <c r="O166" s="413" t="s">
        <v>438</v>
      </c>
      <c r="P166" s="411" t="s">
        <v>111</v>
      </c>
      <c r="Q166" s="412" t="s">
        <v>209</v>
      </c>
      <c r="R166" s="408" t="s">
        <v>45</v>
      </c>
      <c r="S166" s="402" t="s">
        <v>437</v>
      </c>
    </row>
    <row r="167" spans="1:19" s="28" customFormat="1" ht="30" customHeight="1">
      <c r="A167" s="14">
        <f t="shared" si="5"/>
        <v>165</v>
      </c>
      <c r="B167" s="54" t="s">
        <v>145</v>
      </c>
      <c r="C167" s="54" t="s">
        <v>97</v>
      </c>
      <c r="D167" s="54" t="s">
        <v>146</v>
      </c>
      <c r="E167" s="62">
        <v>115875</v>
      </c>
      <c r="F167" s="63">
        <v>290</v>
      </c>
      <c r="G167" s="19">
        <v>54</v>
      </c>
      <c r="H167" s="19">
        <v>8.5</v>
      </c>
      <c r="I167" s="56" t="s">
        <v>354</v>
      </c>
      <c r="J167" s="55">
        <v>0.58333333333333337</v>
      </c>
      <c r="K167" s="56">
        <v>42649</v>
      </c>
      <c r="L167" s="55">
        <v>0.83333333333333337</v>
      </c>
      <c r="M167" s="107">
        <v>2600</v>
      </c>
      <c r="N167" s="65" t="s">
        <v>255</v>
      </c>
      <c r="O167" s="65" t="s">
        <v>37</v>
      </c>
      <c r="P167" s="54" t="s">
        <v>83</v>
      </c>
      <c r="Q167" s="24" t="s">
        <v>84</v>
      </c>
      <c r="R167" s="144" t="s">
        <v>155</v>
      </c>
      <c r="S167" s="169"/>
    </row>
    <row r="168" spans="1:19" s="28" customFormat="1" ht="30" customHeight="1">
      <c r="A168" s="14">
        <f t="shared" si="5"/>
        <v>166</v>
      </c>
      <c r="B168" s="54" t="s">
        <v>180</v>
      </c>
      <c r="C168" s="54" t="s">
        <v>181</v>
      </c>
      <c r="D168" s="54" t="s">
        <v>193</v>
      </c>
      <c r="E168" s="24">
        <v>65591</v>
      </c>
      <c r="F168" s="63">
        <v>274.89999999999998</v>
      </c>
      <c r="G168" s="64">
        <v>47</v>
      </c>
      <c r="H168" s="64">
        <v>6.8</v>
      </c>
      <c r="I168" s="56" t="s">
        <v>355</v>
      </c>
      <c r="J168" s="37">
        <v>0.5</v>
      </c>
      <c r="K168" s="36">
        <v>42650</v>
      </c>
      <c r="L168" s="38">
        <v>0.875</v>
      </c>
      <c r="M168" s="39">
        <v>2700</v>
      </c>
      <c r="N168" s="40" t="s">
        <v>337</v>
      </c>
      <c r="O168" s="65" t="s">
        <v>53</v>
      </c>
      <c r="P168" s="54" t="s">
        <v>238</v>
      </c>
      <c r="Q168" s="24" t="s">
        <v>239</v>
      </c>
      <c r="R168" s="26" t="s">
        <v>45</v>
      </c>
      <c r="S168" s="27"/>
    </row>
    <row r="169" spans="1:19" s="28" customFormat="1" ht="30" customHeight="1">
      <c r="A169" s="14">
        <f t="shared" si="5"/>
        <v>167</v>
      </c>
      <c r="B169" s="388" t="s">
        <v>436</v>
      </c>
      <c r="C169" s="389" t="s">
        <v>430</v>
      </c>
      <c r="D169" s="389" t="s">
        <v>431</v>
      </c>
      <c r="E169" s="390">
        <v>10992</v>
      </c>
      <c r="F169" s="391">
        <v>142</v>
      </c>
      <c r="G169" s="54"/>
      <c r="I169" s="56" t="s">
        <v>355</v>
      </c>
      <c r="J169" s="103">
        <v>0.3125</v>
      </c>
      <c r="K169" s="56" t="s">
        <v>355</v>
      </c>
      <c r="L169" s="55">
        <v>0.79166666666666663</v>
      </c>
      <c r="N169" s="392" t="s">
        <v>432</v>
      </c>
      <c r="O169" s="392" t="s">
        <v>439</v>
      </c>
      <c r="P169" s="54" t="s">
        <v>433</v>
      </c>
      <c r="Q169" s="389" t="s">
        <v>434</v>
      </c>
      <c r="R169" s="144" t="s">
        <v>155</v>
      </c>
      <c r="S169" s="27"/>
    </row>
    <row r="170" spans="1:19" s="28" customFormat="1" ht="30" customHeight="1">
      <c r="A170" s="14">
        <f t="shared" si="5"/>
        <v>168</v>
      </c>
      <c r="B170" s="26" t="s">
        <v>176</v>
      </c>
      <c r="C170" s="26" t="s">
        <v>177</v>
      </c>
      <c r="D170" s="26" t="s">
        <v>127</v>
      </c>
      <c r="E170" s="102">
        <v>26594</v>
      </c>
      <c r="F170" s="34">
        <v>183</v>
      </c>
      <c r="G170" s="35">
        <v>39.5</v>
      </c>
      <c r="H170" s="35">
        <v>6.5</v>
      </c>
      <c r="I170" s="26" t="s">
        <v>356</v>
      </c>
      <c r="J170" s="103">
        <v>0.33333333333333331</v>
      </c>
      <c r="K170" s="36">
        <v>42651</v>
      </c>
      <c r="L170" s="103">
        <v>0.79166666666666663</v>
      </c>
      <c r="M170" s="39">
        <v>680</v>
      </c>
      <c r="N170" s="40" t="s">
        <v>196</v>
      </c>
      <c r="O170" s="40" t="s">
        <v>82</v>
      </c>
      <c r="P170" s="26" t="s">
        <v>83</v>
      </c>
      <c r="Q170" s="24" t="s">
        <v>84</v>
      </c>
      <c r="R170" s="144" t="s">
        <v>155</v>
      </c>
      <c r="S170" s="27"/>
    </row>
    <row r="171" spans="1:19" s="28" customFormat="1" ht="30" customHeight="1">
      <c r="A171" s="14">
        <f t="shared" si="5"/>
        <v>169</v>
      </c>
      <c r="B171" s="132" t="s">
        <v>137</v>
      </c>
      <c r="C171" s="54" t="s">
        <v>357</v>
      </c>
      <c r="D171" s="54" t="s">
        <v>28</v>
      </c>
      <c r="E171" s="62">
        <v>28258</v>
      </c>
      <c r="F171" s="63">
        <v>186</v>
      </c>
      <c r="G171" s="64">
        <v>39.4</v>
      </c>
      <c r="H171" s="64">
        <v>6.1</v>
      </c>
      <c r="I171" s="54" t="s">
        <v>358</v>
      </c>
      <c r="J171" s="55">
        <v>0.33333333333333331</v>
      </c>
      <c r="K171" s="56">
        <v>42652</v>
      </c>
      <c r="L171" s="55">
        <v>0.75</v>
      </c>
      <c r="M171" s="22">
        <v>400</v>
      </c>
      <c r="N171" s="65" t="s">
        <v>196</v>
      </c>
      <c r="O171" s="65" t="s">
        <v>82</v>
      </c>
      <c r="P171" s="54" t="s">
        <v>91</v>
      </c>
      <c r="Q171" s="24" t="s">
        <v>92</v>
      </c>
      <c r="R171" s="144" t="s">
        <v>155</v>
      </c>
      <c r="S171" s="27"/>
    </row>
    <row r="172" spans="1:19" s="28" customFormat="1" ht="30" customHeight="1">
      <c r="A172" s="14">
        <f t="shared" si="5"/>
        <v>170</v>
      </c>
      <c r="B172" s="66" t="s">
        <v>115</v>
      </c>
      <c r="C172" s="66" t="s">
        <v>97</v>
      </c>
      <c r="D172" s="66" t="s">
        <v>116</v>
      </c>
      <c r="E172" s="108">
        <v>115875</v>
      </c>
      <c r="F172" s="100">
        <v>290</v>
      </c>
      <c r="G172" s="101">
        <v>54</v>
      </c>
      <c r="H172" s="101">
        <v>8.5</v>
      </c>
      <c r="I172" s="67" t="s">
        <v>359</v>
      </c>
      <c r="J172" s="68">
        <v>0.33333333333333331</v>
      </c>
      <c r="K172" s="69">
        <v>42653</v>
      </c>
      <c r="L172" s="68">
        <v>0.79166666666666663</v>
      </c>
      <c r="M172" s="70">
        <v>2600</v>
      </c>
      <c r="N172" s="81" t="s">
        <v>82</v>
      </c>
      <c r="O172" s="81" t="s">
        <v>37</v>
      </c>
      <c r="P172" s="66" t="s">
        <v>83</v>
      </c>
      <c r="Q172" s="24" t="s">
        <v>84</v>
      </c>
      <c r="R172" s="144" t="s">
        <v>155</v>
      </c>
      <c r="S172" s="27"/>
    </row>
    <row r="173" spans="1:19" s="28" customFormat="1" ht="30" customHeight="1">
      <c r="A173" s="14">
        <f t="shared" si="5"/>
        <v>171</v>
      </c>
      <c r="B173" s="66" t="s">
        <v>250</v>
      </c>
      <c r="C173" s="66" t="s">
        <v>27</v>
      </c>
      <c r="D173" s="66" t="s">
        <v>28</v>
      </c>
      <c r="E173" s="108">
        <v>168700</v>
      </c>
      <c r="F173" s="100">
        <v>348</v>
      </c>
      <c r="G173" s="101">
        <v>62.5</v>
      </c>
      <c r="H173" s="101">
        <v>8.5</v>
      </c>
      <c r="I173" s="67" t="s">
        <v>360</v>
      </c>
      <c r="J173" s="68">
        <v>0.375</v>
      </c>
      <c r="K173" s="69">
        <v>42653</v>
      </c>
      <c r="L173" s="68">
        <v>0.70833333333333337</v>
      </c>
      <c r="M173" s="70">
        <v>4152</v>
      </c>
      <c r="N173" s="81" t="s">
        <v>306</v>
      </c>
      <c r="O173" s="66" t="s">
        <v>257</v>
      </c>
      <c r="P173" s="71" t="s">
        <v>32</v>
      </c>
      <c r="Q173" s="24" t="s">
        <v>33</v>
      </c>
      <c r="R173" s="26" t="s">
        <v>34</v>
      </c>
      <c r="S173" s="27"/>
    </row>
    <row r="174" spans="1:19" s="28" customFormat="1" ht="30" customHeight="1">
      <c r="A174" s="14">
        <f t="shared" si="5"/>
        <v>172</v>
      </c>
      <c r="B174" s="132" t="s">
        <v>100</v>
      </c>
      <c r="C174" s="54" t="s">
        <v>361</v>
      </c>
      <c r="D174" s="54" t="s">
        <v>41</v>
      </c>
      <c r="E174" s="62">
        <v>90963</v>
      </c>
      <c r="F174" s="63">
        <v>294</v>
      </c>
      <c r="G174" s="64">
        <v>54</v>
      </c>
      <c r="H174" s="64">
        <v>8.3000000000000007</v>
      </c>
      <c r="I174" s="54" t="s">
        <v>362</v>
      </c>
      <c r="J174" s="103">
        <v>0.29166666666666669</v>
      </c>
      <c r="K174" s="36">
        <v>42654</v>
      </c>
      <c r="L174" s="103">
        <v>0.625</v>
      </c>
      <c r="M174" s="39">
        <v>2138</v>
      </c>
      <c r="N174" s="40" t="s">
        <v>44</v>
      </c>
      <c r="O174" s="54" t="s">
        <v>363</v>
      </c>
      <c r="P174" s="23" t="s">
        <v>32</v>
      </c>
      <c r="Q174" s="24" t="s">
        <v>33</v>
      </c>
      <c r="R174" s="144" t="s">
        <v>155</v>
      </c>
      <c r="S174" s="27"/>
    </row>
    <row r="175" spans="1:19" s="28" customFormat="1" ht="30" customHeight="1">
      <c r="A175" s="14">
        <f t="shared" si="5"/>
        <v>173</v>
      </c>
      <c r="B175" s="26" t="s">
        <v>62</v>
      </c>
      <c r="C175" s="26" t="s">
        <v>364</v>
      </c>
      <c r="D175" s="26" t="s">
        <v>365</v>
      </c>
      <c r="E175" s="102">
        <v>115875</v>
      </c>
      <c r="F175" s="34">
        <v>290</v>
      </c>
      <c r="G175" s="19">
        <v>54</v>
      </c>
      <c r="H175" s="19">
        <v>8.5</v>
      </c>
      <c r="I175" s="26" t="s">
        <v>366</v>
      </c>
      <c r="J175" s="103">
        <v>0.33333333333333331</v>
      </c>
      <c r="K175" s="36">
        <v>42656</v>
      </c>
      <c r="L175" s="103">
        <v>0.70833333333333337</v>
      </c>
      <c r="M175" s="39">
        <v>2600</v>
      </c>
      <c r="N175" s="26" t="s">
        <v>367</v>
      </c>
      <c r="O175" s="26" t="s">
        <v>44</v>
      </c>
      <c r="P175" s="26" t="s">
        <v>368</v>
      </c>
      <c r="Q175" s="24" t="s">
        <v>369</v>
      </c>
      <c r="R175" s="144" t="s">
        <v>155</v>
      </c>
      <c r="S175" s="169"/>
    </row>
    <row r="176" spans="1:19" s="28" customFormat="1" ht="30" customHeight="1">
      <c r="A176" s="14">
        <f t="shared" si="5"/>
        <v>174</v>
      </c>
      <c r="B176" s="15" t="s">
        <v>73</v>
      </c>
      <c r="C176" s="16" t="s">
        <v>158</v>
      </c>
      <c r="D176" s="16" t="s">
        <v>159</v>
      </c>
      <c r="E176" s="17">
        <v>85619</v>
      </c>
      <c r="F176" s="18">
        <v>290</v>
      </c>
      <c r="G176" s="19">
        <v>55</v>
      </c>
      <c r="H176" s="19">
        <v>8</v>
      </c>
      <c r="I176" s="20" t="s">
        <v>370</v>
      </c>
      <c r="J176" s="21">
        <v>0.54166666666666663</v>
      </c>
      <c r="K176" s="20">
        <v>42657</v>
      </c>
      <c r="L176" s="21">
        <v>0.91666666666666663</v>
      </c>
      <c r="M176" s="39">
        <v>2114</v>
      </c>
      <c r="N176" s="40" t="s">
        <v>52</v>
      </c>
      <c r="O176" s="65" t="s">
        <v>363</v>
      </c>
      <c r="P176" s="23" t="s">
        <v>294</v>
      </c>
      <c r="Q176" s="24" t="s">
        <v>55</v>
      </c>
      <c r="R176" s="144" t="s">
        <v>155</v>
      </c>
      <c r="S176" s="27"/>
    </row>
    <row r="177" spans="1:19" s="28" customFormat="1" ht="30" customHeight="1">
      <c r="A177" s="14">
        <f t="shared" si="5"/>
        <v>175</v>
      </c>
      <c r="B177" s="109" t="s">
        <v>236</v>
      </c>
      <c r="C177" s="61" t="s">
        <v>97</v>
      </c>
      <c r="D177" s="61" t="s">
        <v>88</v>
      </c>
      <c r="E177" s="110">
        <v>108865</v>
      </c>
      <c r="F177" s="59">
        <v>290</v>
      </c>
      <c r="G177" s="60">
        <v>54</v>
      </c>
      <c r="H177" s="60">
        <v>8.5</v>
      </c>
      <c r="I177" s="91" t="s">
        <v>371</v>
      </c>
      <c r="J177" s="21">
        <v>0.33333333333333331</v>
      </c>
      <c r="K177" s="20">
        <v>42658</v>
      </c>
      <c r="L177" s="21">
        <v>0.75</v>
      </c>
      <c r="M177" s="39">
        <v>2594</v>
      </c>
      <c r="N177" s="40" t="s">
        <v>235</v>
      </c>
      <c r="O177" s="16" t="s">
        <v>372</v>
      </c>
      <c r="P177" s="26" t="s">
        <v>169</v>
      </c>
      <c r="Q177" s="24" t="s">
        <v>84</v>
      </c>
      <c r="R177" s="144" t="s">
        <v>155</v>
      </c>
      <c r="S177" s="169"/>
    </row>
    <row r="178" spans="1:19" s="28" customFormat="1" ht="30" customHeight="1">
      <c r="A178" s="14">
        <f t="shared" si="5"/>
        <v>176</v>
      </c>
      <c r="B178" s="54" t="s">
        <v>26</v>
      </c>
      <c r="C178" s="54" t="s">
        <v>27</v>
      </c>
      <c r="D178" s="54" t="s">
        <v>28</v>
      </c>
      <c r="E178" s="62">
        <v>168700</v>
      </c>
      <c r="F178" s="63">
        <v>348</v>
      </c>
      <c r="G178" s="60">
        <v>62.5</v>
      </c>
      <c r="H178" s="60">
        <v>8.5</v>
      </c>
      <c r="I178" s="56" t="s">
        <v>373</v>
      </c>
      <c r="J178" s="103">
        <v>0.29166666666666669</v>
      </c>
      <c r="K178" s="36">
        <v>42659</v>
      </c>
      <c r="L178" s="103">
        <v>0.79166666666666663</v>
      </c>
      <c r="M178" s="39">
        <v>4152</v>
      </c>
      <c r="N178" s="65" t="s">
        <v>44</v>
      </c>
      <c r="O178" s="65" t="s">
        <v>374</v>
      </c>
      <c r="P178" s="23" t="s">
        <v>32</v>
      </c>
      <c r="Q178" s="24" t="s">
        <v>33</v>
      </c>
      <c r="R178" s="26" t="s">
        <v>34</v>
      </c>
      <c r="S178" s="27"/>
    </row>
    <row r="179" spans="1:19" s="28" customFormat="1" ht="30" customHeight="1">
      <c r="A179" s="14">
        <f t="shared" si="5"/>
        <v>177</v>
      </c>
      <c r="B179" s="54" t="s">
        <v>180</v>
      </c>
      <c r="C179" s="54" t="s">
        <v>181</v>
      </c>
      <c r="D179" s="54" t="s">
        <v>182</v>
      </c>
      <c r="E179" s="62">
        <v>65591</v>
      </c>
      <c r="F179" s="63">
        <v>274.89999999999998</v>
      </c>
      <c r="G179" s="64">
        <v>47</v>
      </c>
      <c r="H179" s="64">
        <v>6.8</v>
      </c>
      <c r="I179" s="56" t="s">
        <v>375</v>
      </c>
      <c r="J179" s="55">
        <v>0.5</v>
      </c>
      <c r="K179" s="56">
        <v>42660</v>
      </c>
      <c r="L179" s="55">
        <v>0.83333333333333337</v>
      </c>
      <c r="M179" s="39">
        <v>2700</v>
      </c>
      <c r="N179" s="65" t="s">
        <v>52</v>
      </c>
      <c r="O179" s="65" t="s">
        <v>184</v>
      </c>
      <c r="P179" s="23" t="s">
        <v>238</v>
      </c>
      <c r="Q179" s="24" t="s">
        <v>239</v>
      </c>
      <c r="R179" s="26" t="s">
        <v>45</v>
      </c>
      <c r="S179" s="27"/>
    </row>
    <row r="180" spans="1:19" s="28" customFormat="1" ht="30" customHeight="1">
      <c r="A180" s="14">
        <f t="shared" si="5"/>
        <v>178</v>
      </c>
      <c r="B180" s="66" t="s">
        <v>115</v>
      </c>
      <c r="C180" s="66" t="s">
        <v>97</v>
      </c>
      <c r="D180" s="66" t="s">
        <v>116</v>
      </c>
      <c r="E180" s="108">
        <v>115875</v>
      </c>
      <c r="F180" s="100">
        <v>290</v>
      </c>
      <c r="G180" s="101">
        <v>54</v>
      </c>
      <c r="H180" s="101">
        <v>8.5</v>
      </c>
      <c r="I180" s="67" t="s">
        <v>376</v>
      </c>
      <c r="J180" s="68">
        <v>0.33333333333333331</v>
      </c>
      <c r="K180" s="69">
        <v>42662</v>
      </c>
      <c r="L180" s="68">
        <v>0.79166666666666663</v>
      </c>
      <c r="M180" s="70">
        <v>2600</v>
      </c>
      <c r="N180" s="81" t="s">
        <v>82</v>
      </c>
      <c r="O180" s="81" t="s">
        <v>37</v>
      </c>
      <c r="P180" s="66" t="s">
        <v>83</v>
      </c>
      <c r="Q180" s="24" t="s">
        <v>84</v>
      </c>
      <c r="R180" s="144" t="s">
        <v>155</v>
      </c>
      <c r="S180" s="27"/>
    </row>
    <row r="181" spans="1:19" s="28" customFormat="1" ht="30" customHeight="1">
      <c r="A181" s="14">
        <f t="shared" si="5"/>
        <v>179</v>
      </c>
      <c r="B181" s="66" t="s">
        <v>250</v>
      </c>
      <c r="C181" s="66" t="s">
        <v>27</v>
      </c>
      <c r="D181" s="66" t="s">
        <v>28</v>
      </c>
      <c r="E181" s="108">
        <v>168700</v>
      </c>
      <c r="F181" s="100">
        <v>348</v>
      </c>
      <c r="G181" s="101">
        <v>62.5</v>
      </c>
      <c r="H181" s="101">
        <v>8.5</v>
      </c>
      <c r="I181" s="67" t="s">
        <v>377</v>
      </c>
      <c r="J181" s="68">
        <v>0.29166666666666669</v>
      </c>
      <c r="K181" s="69">
        <v>42662</v>
      </c>
      <c r="L181" s="68">
        <v>0.66666666666666663</v>
      </c>
      <c r="M181" s="70"/>
      <c r="N181" s="81" t="s">
        <v>53</v>
      </c>
      <c r="O181" s="81" t="s">
        <v>333</v>
      </c>
      <c r="P181" s="66" t="s">
        <v>32</v>
      </c>
      <c r="Q181" s="24" t="s">
        <v>33</v>
      </c>
      <c r="R181" s="26" t="s">
        <v>34</v>
      </c>
      <c r="S181" s="27"/>
    </row>
    <row r="182" spans="1:19" s="28" customFormat="1" ht="30" customHeight="1">
      <c r="A182" s="14">
        <f t="shared" si="5"/>
        <v>180</v>
      </c>
      <c r="B182" s="170" t="s">
        <v>39</v>
      </c>
      <c r="C182" s="170" t="s">
        <v>40</v>
      </c>
      <c r="D182" s="170" t="s">
        <v>41</v>
      </c>
      <c r="E182" s="171">
        <v>72458</v>
      </c>
      <c r="F182" s="172">
        <v>245</v>
      </c>
      <c r="G182" s="173"/>
      <c r="H182" s="173">
        <v>7.5</v>
      </c>
      <c r="I182" s="170" t="s">
        <v>378</v>
      </c>
      <c r="J182" s="106">
        <v>0.41666666666666669</v>
      </c>
      <c r="K182" s="174">
        <v>42666</v>
      </c>
      <c r="L182" s="106">
        <v>0.95833333333333337</v>
      </c>
      <c r="M182" s="175">
        <v>1778</v>
      </c>
      <c r="N182" s="177" t="s">
        <v>82</v>
      </c>
      <c r="O182" s="177" t="s">
        <v>44</v>
      </c>
      <c r="P182" s="170" t="s">
        <v>32</v>
      </c>
      <c r="Q182" s="176" t="s">
        <v>33</v>
      </c>
      <c r="R182" s="170" t="s">
        <v>45</v>
      </c>
      <c r="S182" s="233" t="s">
        <v>379</v>
      </c>
    </row>
    <row r="183" spans="1:19" s="28" customFormat="1" ht="30" customHeight="1">
      <c r="A183" s="14">
        <f t="shared" si="5"/>
        <v>181</v>
      </c>
      <c r="B183" s="26" t="s">
        <v>115</v>
      </c>
      <c r="C183" s="26" t="s">
        <v>97</v>
      </c>
      <c r="D183" s="26" t="s">
        <v>116</v>
      </c>
      <c r="E183" s="102">
        <v>115875</v>
      </c>
      <c r="F183" s="34">
        <v>290</v>
      </c>
      <c r="G183" s="35">
        <v>54</v>
      </c>
      <c r="H183" s="35">
        <v>8.5</v>
      </c>
      <c r="I183" s="26" t="s">
        <v>380</v>
      </c>
      <c r="J183" s="103">
        <v>0.33333333333333331</v>
      </c>
      <c r="K183" s="36">
        <v>42667</v>
      </c>
      <c r="L183" s="103">
        <v>0.79166666666666663</v>
      </c>
      <c r="M183" s="39">
        <v>2600</v>
      </c>
      <c r="N183" s="40" t="s">
        <v>82</v>
      </c>
      <c r="O183" s="40" t="s">
        <v>327</v>
      </c>
      <c r="P183" s="26" t="s">
        <v>83</v>
      </c>
      <c r="Q183" s="24" t="s">
        <v>84</v>
      </c>
      <c r="R183" s="144" t="s">
        <v>155</v>
      </c>
      <c r="S183" s="169"/>
    </row>
    <row r="184" spans="1:19" s="28" customFormat="1" ht="30" customHeight="1">
      <c r="A184" s="14">
        <f t="shared" si="5"/>
        <v>182</v>
      </c>
      <c r="B184" s="109" t="s">
        <v>250</v>
      </c>
      <c r="C184" s="61" t="s">
        <v>27</v>
      </c>
      <c r="D184" s="61" t="s">
        <v>28</v>
      </c>
      <c r="E184" s="110">
        <v>168700</v>
      </c>
      <c r="F184" s="59">
        <v>348</v>
      </c>
      <c r="G184" s="64">
        <v>62.5</v>
      </c>
      <c r="H184" s="64">
        <v>8.5</v>
      </c>
      <c r="I184" s="20" t="s">
        <v>381</v>
      </c>
      <c r="J184" s="21">
        <v>0.41666666666666669</v>
      </c>
      <c r="K184" s="20">
        <v>42668</v>
      </c>
      <c r="L184" s="21">
        <v>0.75</v>
      </c>
      <c r="M184" s="39">
        <v>4152</v>
      </c>
      <c r="N184" s="40" t="s">
        <v>257</v>
      </c>
      <c r="O184" s="40" t="s">
        <v>327</v>
      </c>
      <c r="P184" s="23" t="s">
        <v>32</v>
      </c>
      <c r="Q184" s="24" t="s">
        <v>33</v>
      </c>
      <c r="R184" s="26" t="s">
        <v>34</v>
      </c>
      <c r="S184" s="27"/>
    </row>
    <row r="185" spans="1:19" s="28" customFormat="1" ht="30" customHeight="1">
      <c r="A185" s="14">
        <f t="shared" si="5"/>
        <v>183</v>
      </c>
      <c r="B185" s="54" t="s">
        <v>26</v>
      </c>
      <c r="C185" s="54" t="s">
        <v>27</v>
      </c>
      <c r="D185" s="54" t="s">
        <v>28</v>
      </c>
      <c r="E185" s="62">
        <v>168700</v>
      </c>
      <c r="F185" s="63">
        <v>348</v>
      </c>
      <c r="G185" s="60">
        <v>62.5</v>
      </c>
      <c r="H185" s="60">
        <v>8.5</v>
      </c>
      <c r="I185" s="36" t="s">
        <v>382</v>
      </c>
      <c r="J185" s="103">
        <v>0.33333333333333331</v>
      </c>
      <c r="K185" s="36">
        <v>42670</v>
      </c>
      <c r="L185" s="103">
        <v>0.91666666666666663</v>
      </c>
      <c r="M185" s="39">
        <v>4152</v>
      </c>
      <c r="N185" s="40" t="s">
        <v>53</v>
      </c>
      <c r="O185" s="40" t="s">
        <v>44</v>
      </c>
      <c r="P185" s="23" t="s">
        <v>32</v>
      </c>
      <c r="Q185" s="24" t="s">
        <v>33</v>
      </c>
      <c r="R185" s="26" t="s">
        <v>34</v>
      </c>
      <c r="S185" s="27"/>
    </row>
    <row r="186" spans="1:19" s="28" customFormat="1" ht="30" customHeight="1">
      <c r="A186" s="14">
        <f t="shared" si="5"/>
        <v>184</v>
      </c>
      <c r="B186" s="179" t="s">
        <v>77</v>
      </c>
      <c r="C186" s="16" t="s">
        <v>224</v>
      </c>
      <c r="D186" s="54"/>
      <c r="E186" s="17">
        <v>24427</v>
      </c>
      <c r="F186" s="18">
        <v>180.45</v>
      </c>
      <c r="G186" s="178"/>
      <c r="H186" s="178"/>
      <c r="I186" s="20" t="s">
        <v>383</v>
      </c>
      <c r="J186" s="21">
        <v>0.33333333333333331</v>
      </c>
      <c r="K186" s="20" t="s">
        <v>383</v>
      </c>
      <c r="L186" s="21">
        <v>0.83333333333333337</v>
      </c>
      <c r="M186" s="180"/>
      <c r="N186" s="181" t="s">
        <v>343</v>
      </c>
      <c r="O186" s="181" t="s">
        <v>53</v>
      </c>
      <c r="P186" s="183" t="s">
        <v>228</v>
      </c>
      <c r="Q186" s="182" t="s">
        <v>123</v>
      </c>
      <c r="R186" s="144" t="s">
        <v>155</v>
      </c>
      <c r="S186" s="184"/>
    </row>
    <row r="187" spans="1:19" s="28" customFormat="1" ht="30" customHeight="1" thickBot="1">
      <c r="A187" s="14">
        <f t="shared" si="5"/>
        <v>185</v>
      </c>
      <c r="B187" s="45" t="s">
        <v>39</v>
      </c>
      <c r="C187" s="185" t="s">
        <v>40</v>
      </c>
      <c r="D187" s="185" t="s">
        <v>41</v>
      </c>
      <c r="E187" s="186">
        <v>72458</v>
      </c>
      <c r="F187" s="187">
        <v>245</v>
      </c>
      <c r="G187" s="188"/>
      <c r="H187" s="188">
        <v>7.5</v>
      </c>
      <c r="I187" s="189" t="s">
        <v>384</v>
      </c>
      <c r="J187" s="190">
        <v>0.375</v>
      </c>
      <c r="K187" s="189">
        <v>42674</v>
      </c>
      <c r="L187" s="191">
        <v>0.75</v>
      </c>
      <c r="M187" s="116">
        <v>1778</v>
      </c>
      <c r="N187" s="117" t="s">
        <v>68</v>
      </c>
      <c r="O187" s="41" t="s">
        <v>37</v>
      </c>
      <c r="P187" s="45" t="s">
        <v>32</v>
      </c>
      <c r="Q187" s="44" t="s">
        <v>33</v>
      </c>
      <c r="R187" s="45" t="s">
        <v>45</v>
      </c>
      <c r="S187" s="46"/>
    </row>
    <row r="188" spans="1:19" s="28" customFormat="1" ht="30" customHeight="1">
      <c r="A188" s="14">
        <f t="shared" si="5"/>
        <v>186</v>
      </c>
      <c r="B188" s="192" t="s">
        <v>180</v>
      </c>
      <c r="C188" s="192" t="s">
        <v>181</v>
      </c>
      <c r="D188" s="192" t="s">
        <v>182</v>
      </c>
      <c r="E188" s="193">
        <v>65591</v>
      </c>
      <c r="F188" s="194">
        <v>274.89999999999998</v>
      </c>
      <c r="G188" s="64">
        <v>47</v>
      </c>
      <c r="H188" s="64">
        <v>6.8</v>
      </c>
      <c r="I188" s="79" t="s">
        <v>385</v>
      </c>
      <c r="J188" s="195">
        <v>0.5</v>
      </c>
      <c r="K188" s="79">
        <v>42675</v>
      </c>
      <c r="L188" s="196">
        <v>0.83333333333333337</v>
      </c>
      <c r="M188" s="39">
        <v>2700</v>
      </c>
      <c r="N188" s="130" t="s">
        <v>52</v>
      </c>
      <c r="O188" s="48" t="s">
        <v>68</v>
      </c>
      <c r="P188" s="74" t="s">
        <v>238</v>
      </c>
      <c r="Q188" s="51" t="s">
        <v>239</v>
      </c>
      <c r="R188" s="52" t="s">
        <v>45</v>
      </c>
      <c r="S188" s="197"/>
    </row>
    <row r="189" spans="1:19" s="28" customFormat="1" ht="30" customHeight="1">
      <c r="A189" s="14">
        <f t="shared" si="5"/>
        <v>187</v>
      </c>
      <c r="B189" s="74" t="s">
        <v>115</v>
      </c>
      <c r="C189" s="74" t="s">
        <v>97</v>
      </c>
      <c r="D189" s="74" t="s">
        <v>116</v>
      </c>
      <c r="E189" s="75">
        <v>115875</v>
      </c>
      <c r="F189" s="76">
        <v>290</v>
      </c>
      <c r="G189" s="159">
        <v>54</v>
      </c>
      <c r="H189" s="159">
        <v>8.5</v>
      </c>
      <c r="I189" s="52" t="s">
        <v>386</v>
      </c>
      <c r="J189" s="160">
        <v>0.33333333333333331</v>
      </c>
      <c r="K189" s="198">
        <v>42676</v>
      </c>
      <c r="L189" s="160">
        <v>0.79166666666666663</v>
      </c>
      <c r="M189" s="199">
        <v>2600</v>
      </c>
      <c r="N189" s="131" t="s">
        <v>44</v>
      </c>
      <c r="O189" s="131" t="s">
        <v>129</v>
      </c>
      <c r="P189" s="74" t="s">
        <v>83</v>
      </c>
      <c r="Q189" s="51" t="s">
        <v>84</v>
      </c>
      <c r="R189" s="52" t="s">
        <v>34</v>
      </c>
      <c r="S189" s="169"/>
    </row>
    <row r="190" spans="1:19" s="28" customFormat="1" ht="30" customHeight="1">
      <c r="A190" s="14">
        <f t="shared" si="5"/>
        <v>188</v>
      </c>
      <c r="B190" s="15" t="s">
        <v>26</v>
      </c>
      <c r="C190" s="16" t="s">
        <v>27</v>
      </c>
      <c r="D190" s="16" t="s">
        <v>28</v>
      </c>
      <c r="E190" s="17">
        <v>167800</v>
      </c>
      <c r="F190" s="18">
        <v>348</v>
      </c>
      <c r="G190" s="60">
        <v>62.5</v>
      </c>
      <c r="H190" s="60">
        <v>8.5</v>
      </c>
      <c r="I190" s="20" t="s">
        <v>387</v>
      </c>
      <c r="J190" s="21">
        <v>0.29166666666666669</v>
      </c>
      <c r="K190" s="20">
        <v>42679</v>
      </c>
      <c r="L190" s="21">
        <v>0.79166666666666663</v>
      </c>
      <c r="M190" s="39">
        <v>4152</v>
      </c>
      <c r="N190" s="40" t="s">
        <v>44</v>
      </c>
      <c r="O190" s="16" t="s">
        <v>37</v>
      </c>
      <c r="P190" s="25" t="s">
        <v>32</v>
      </c>
      <c r="Q190" s="24" t="s">
        <v>33</v>
      </c>
      <c r="R190" s="26" t="s">
        <v>34</v>
      </c>
      <c r="S190" s="27"/>
    </row>
    <row r="191" spans="1:19" s="28" customFormat="1" ht="30" customHeight="1">
      <c r="A191" s="14">
        <f t="shared" si="5"/>
        <v>189</v>
      </c>
      <c r="B191" s="66" t="s">
        <v>115</v>
      </c>
      <c r="C191" s="66" t="s">
        <v>97</v>
      </c>
      <c r="D191" s="66" t="s">
        <v>116</v>
      </c>
      <c r="E191" s="108">
        <v>115875</v>
      </c>
      <c r="F191" s="100">
        <v>290</v>
      </c>
      <c r="G191" s="101">
        <v>54</v>
      </c>
      <c r="H191" s="101">
        <v>8.5</v>
      </c>
      <c r="I191" s="67" t="s">
        <v>388</v>
      </c>
      <c r="J191" s="68">
        <v>0.33333333333333331</v>
      </c>
      <c r="K191" s="69">
        <v>42681</v>
      </c>
      <c r="L191" s="68">
        <v>0.79166666666666663</v>
      </c>
      <c r="M191" s="70">
        <v>2600</v>
      </c>
      <c r="N191" s="81" t="s">
        <v>82</v>
      </c>
      <c r="O191" s="81" t="s">
        <v>37</v>
      </c>
      <c r="P191" s="66" t="s">
        <v>83</v>
      </c>
      <c r="Q191" s="24" t="s">
        <v>84</v>
      </c>
      <c r="R191" s="26" t="s">
        <v>34</v>
      </c>
      <c r="S191" s="169"/>
    </row>
    <row r="192" spans="1:19" s="28" customFormat="1" ht="30" customHeight="1">
      <c r="A192" s="14">
        <f t="shared" si="5"/>
        <v>190</v>
      </c>
      <c r="B192" s="66" t="s">
        <v>180</v>
      </c>
      <c r="C192" s="66" t="s">
        <v>181</v>
      </c>
      <c r="D192" s="66" t="s">
        <v>182</v>
      </c>
      <c r="E192" s="108">
        <v>65591</v>
      </c>
      <c r="F192" s="100">
        <v>274.89999999999998</v>
      </c>
      <c r="G192" s="101">
        <v>47</v>
      </c>
      <c r="H192" s="101">
        <v>6.8</v>
      </c>
      <c r="I192" s="67" t="s">
        <v>389</v>
      </c>
      <c r="J192" s="68">
        <v>0.29166666666666669</v>
      </c>
      <c r="K192" s="69">
        <v>42681</v>
      </c>
      <c r="L192" s="68">
        <v>0.625</v>
      </c>
      <c r="M192" s="70"/>
      <c r="N192" s="81" t="s">
        <v>68</v>
      </c>
      <c r="O192" s="81" t="s">
        <v>372</v>
      </c>
      <c r="P192" s="66" t="s">
        <v>238</v>
      </c>
      <c r="Q192" s="24" t="s">
        <v>239</v>
      </c>
      <c r="R192" s="26" t="s">
        <v>45</v>
      </c>
      <c r="S192" s="27"/>
    </row>
    <row r="193" spans="1:19" s="28" customFormat="1" ht="30" customHeight="1">
      <c r="A193" s="14">
        <f t="shared" si="5"/>
        <v>191</v>
      </c>
      <c r="B193" s="54" t="s">
        <v>48</v>
      </c>
      <c r="C193" s="54" t="s">
        <v>158</v>
      </c>
      <c r="D193" s="54" t="s">
        <v>159</v>
      </c>
      <c r="E193" s="62">
        <v>85619</v>
      </c>
      <c r="F193" s="63">
        <v>290</v>
      </c>
      <c r="G193" s="64">
        <v>55</v>
      </c>
      <c r="H193" s="64">
        <v>8</v>
      </c>
      <c r="I193" s="56" t="s">
        <v>390</v>
      </c>
      <c r="J193" s="55">
        <v>0.52083333333333337</v>
      </c>
      <c r="K193" s="56">
        <v>42682</v>
      </c>
      <c r="L193" s="55">
        <v>0.89583333333333337</v>
      </c>
      <c r="M193" s="22">
        <v>2114</v>
      </c>
      <c r="N193" s="65" t="s">
        <v>52</v>
      </c>
      <c r="O193" s="65" t="s">
        <v>184</v>
      </c>
      <c r="P193" s="23" t="s">
        <v>294</v>
      </c>
      <c r="Q193" s="24" t="s">
        <v>55</v>
      </c>
      <c r="R193" s="26" t="s">
        <v>45</v>
      </c>
      <c r="S193" s="27"/>
    </row>
    <row r="194" spans="1:19" s="28" customFormat="1" ht="30" customHeight="1">
      <c r="A194" s="14">
        <f t="shared" ref="A194:A215" si="6">ROW()-2</f>
        <v>192</v>
      </c>
      <c r="B194" s="54" t="s">
        <v>62</v>
      </c>
      <c r="C194" s="54" t="s">
        <v>364</v>
      </c>
      <c r="D194" s="54" t="s">
        <v>365</v>
      </c>
      <c r="E194" s="62">
        <v>115875</v>
      </c>
      <c r="F194" s="63">
        <v>290</v>
      </c>
      <c r="G194" s="19">
        <v>54</v>
      </c>
      <c r="H194" s="19">
        <v>8.5</v>
      </c>
      <c r="I194" s="56" t="s">
        <v>391</v>
      </c>
      <c r="J194" s="55">
        <v>0.33333333333333331</v>
      </c>
      <c r="K194" s="56">
        <v>42683</v>
      </c>
      <c r="L194" s="55">
        <v>0.70833333333333337</v>
      </c>
      <c r="M194" s="22">
        <v>2600</v>
      </c>
      <c r="N194" s="65" t="s">
        <v>44</v>
      </c>
      <c r="O194" s="65" t="s">
        <v>37</v>
      </c>
      <c r="P194" s="23" t="s">
        <v>368</v>
      </c>
      <c r="Q194" s="24" t="s">
        <v>369</v>
      </c>
      <c r="R194" s="26" t="s">
        <v>34</v>
      </c>
      <c r="S194" s="169"/>
    </row>
    <row r="195" spans="1:19" s="28" customFormat="1" ht="30" customHeight="1">
      <c r="A195" s="14">
        <f t="shared" si="6"/>
        <v>193</v>
      </c>
      <c r="B195" s="54" t="s">
        <v>250</v>
      </c>
      <c r="C195" s="54" t="s">
        <v>27</v>
      </c>
      <c r="D195" s="54" t="s">
        <v>28</v>
      </c>
      <c r="E195" s="62">
        <v>168700</v>
      </c>
      <c r="F195" s="63">
        <v>348</v>
      </c>
      <c r="G195" s="64">
        <v>62.5</v>
      </c>
      <c r="H195" s="64">
        <v>8.5</v>
      </c>
      <c r="I195" s="26" t="s">
        <v>392</v>
      </c>
      <c r="J195" s="103" t="s">
        <v>393</v>
      </c>
      <c r="K195" s="36">
        <v>42684</v>
      </c>
      <c r="L195" s="103">
        <v>0.95833333333333337</v>
      </c>
      <c r="M195" s="39">
        <v>4152</v>
      </c>
      <c r="N195" s="40" t="s">
        <v>394</v>
      </c>
      <c r="O195" s="40" t="s">
        <v>395</v>
      </c>
      <c r="P195" s="25" t="s">
        <v>32</v>
      </c>
      <c r="Q195" s="24" t="s">
        <v>33</v>
      </c>
      <c r="R195" s="26" t="s">
        <v>34</v>
      </c>
      <c r="S195" s="27"/>
    </row>
    <row r="196" spans="1:19" s="28" customFormat="1" ht="30" customHeight="1">
      <c r="A196" s="14">
        <f t="shared" si="6"/>
        <v>194</v>
      </c>
      <c r="B196" s="54" t="s">
        <v>73</v>
      </c>
      <c r="C196" s="54" t="s">
        <v>158</v>
      </c>
      <c r="D196" s="54" t="s">
        <v>159</v>
      </c>
      <c r="E196" s="62">
        <v>85619</v>
      </c>
      <c r="F196" s="63">
        <v>290</v>
      </c>
      <c r="G196" s="64">
        <v>55</v>
      </c>
      <c r="H196" s="64">
        <v>8</v>
      </c>
      <c r="I196" s="56" t="s">
        <v>396</v>
      </c>
      <c r="J196" s="55">
        <v>0.52083333333333337</v>
      </c>
      <c r="K196" s="56">
        <v>42687</v>
      </c>
      <c r="L196" s="55">
        <v>0.89583333333333337</v>
      </c>
      <c r="M196" s="22">
        <v>2114</v>
      </c>
      <c r="N196" s="65" t="s">
        <v>52</v>
      </c>
      <c r="O196" s="65" t="s">
        <v>53</v>
      </c>
      <c r="P196" s="23" t="s">
        <v>294</v>
      </c>
      <c r="Q196" s="24" t="s">
        <v>55</v>
      </c>
      <c r="R196" s="26" t="s">
        <v>45</v>
      </c>
      <c r="S196" s="27"/>
    </row>
    <row r="197" spans="1:19" s="28" customFormat="1" ht="30" customHeight="1">
      <c r="A197" s="14">
        <f t="shared" si="6"/>
        <v>195</v>
      </c>
      <c r="B197" s="26" t="s">
        <v>62</v>
      </c>
      <c r="C197" s="26" t="s">
        <v>364</v>
      </c>
      <c r="D197" s="26" t="s">
        <v>365</v>
      </c>
      <c r="E197" s="102">
        <v>115875</v>
      </c>
      <c r="F197" s="34">
        <v>290</v>
      </c>
      <c r="G197" s="35">
        <v>54</v>
      </c>
      <c r="H197" s="35">
        <v>8.5</v>
      </c>
      <c r="I197" s="36" t="s">
        <v>397</v>
      </c>
      <c r="J197" s="103">
        <v>0.5</v>
      </c>
      <c r="K197" s="36">
        <v>42688</v>
      </c>
      <c r="L197" s="103">
        <v>0.79166666666666663</v>
      </c>
      <c r="M197" s="39">
        <v>2600</v>
      </c>
      <c r="N197" s="40" t="s">
        <v>52</v>
      </c>
      <c r="O197" s="40" t="s">
        <v>37</v>
      </c>
      <c r="P197" s="25" t="s">
        <v>368</v>
      </c>
      <c r="Q197" s="24" t="s">
        <v>369</v>
      </c>
      <c r="R197" s="26" t="s">
        <v>34</v>
      </c>
      <c r="S197" s="169"/>
    </row>
    <row r="198" spans="1:19" s="28" customFormat="1" ht="30" customHeight="1">
      <c r="A198" s="14"/>
      <c r="B198" s="26" t="s">
        <v>424</v>
      </c>
      <c r="C198" s="26" t="s">
        <v>425</v>
      </c>
      <c r="D198" s="26"/>
      <c r="E198" s="110">
        <v>102587</v>
      </c>
      <c r="F198" s="59">
        <v>273</v>
      </c>
      <c r="G198" s="60">
        <v>62</v>
      </c>
      <c r="H198" s="60">
        <v>8.1999999999999993</v>
      </c>
      <c r="I198" s="54" t="s">
        <v>426</v>
      </c>
      <c r="J198" s="55">
        <v>0.375</v>
      </c>
      <c r="K198" s="54" t="s">
        <v>426</v>
      </c>
      <c r="L198" s="103">
        <v>0.79166666666666663</v>
      </c>
      <c r="M198" s="22">
        <v>2700</v>
      </c>
      <c r="N198" s="40"/>
      <c r="O198" s="40"/>
      <c r="P198" s="23" t="s">
        <v>111</v>
      </c>
      <c r="Q198" s="24" t="s">
        <v>209</v>
      </c>
      <c r="R198" s="26" t="s">
        <v>34</v>
      </c>
      <c r="S198" s="169"/>
    </row>
    <row r="199" spans="1:19" s="28" customFormat="1" ht="30" customHeight="1">
      <c r="A199" s="14">
        <f t="shared" si="6"/>
        <v>197</v>
      </c>
      <c r="B199" s="54" t="s">
        <v>115</v>
      </c>
      <c r="C199" s="54" t="s">
        <v>97</v>
      </c>
      <c r="D199" s="54" t="s">
        <v>116</v>
      </c>
      <c r="E199" s="62">
        <v>115875</v>
      </c>
      <c r="F199" s="63">
        <v>290</v>
      </c>
      <c r="G199" s="35">
        <v>54</v>
      </c>
      <c r="H199" s="35">
        <v>8.5</v>
      </c>
      <c r="I199" s="54" t="s">
        <v>398</v>
      </c>
      <c r="J199" s="55">
        <v>0.33333333333333331</v>
      </c>
      <c r="K199" s="56">
        <v>42690</v>
      </c>
      <c r="L199" s="103">
        <v>0.79166666666666663</v>
      </c>
      <c r="M199" s="22">
        <v>2600</v>
      </c>
      <c r="N199" s="65" t="s">
        <v>82</v>
      </c>
      <c r="O199" s="40" t="s">
        <v>37</v>
      </c>
      <c r="P199" s="54" t="s">
        <v>83</v>
      </c>
      <c r="Q199" s="24" t="s">
        <v>84</v>
      </c>
      <c r="R199" s="26" t="s">
        <v>34</v>
      </c>
      <c r="S199" s="27"/>
    </row>
    <row r="200" spans="1:19" s="28" customFormat="1" ht="30" customHeight="1">
      <c r="A200" s="14">
        <f t="shared" si="6"/>
        <v>198</v>
      </c>
      <c r="B200" s="54" t="s">
        <v>180</v>
      </c>
      <c r="C200" s="54" t="s">
        <v>181</v>
      </c>
      <c r="D200" s="54" t="s">
        <v>182</v>
      </c>
      <c r="E200" s="62">
        <v>65591</v>
      </c>
      <c r="F200" s="63">
        <v>274.89999999999998</v>
      </c>
      <c r="G200" s="64">
        <v>47</v>
      </c>
      <c r="H200" s="64">
        <v>6.8</v>
      </c>
      <c r="I200" s="54" t="s">
        <v>399</v>
      </c>
      <c r="J200" s="55">
        <v>0.29166666666666669</v>
      </c>
      <c r="K200" s="56">
        <v>42691</v>
      </c>
      <c r="L200" s="55">
        <v>0.625</v>
      </c>
      <c r="M200" s="39">
        <v>2700</v>
      </c>
      <c r="N200" s="65" t="s">
        <v>53</v>
      </c>
      <c r="O200" s="65" t="s">
        <v>52</v>
      </c>
      <c r="P200" s="54" t="s">
        <v>238</v>
      </c>
      <c r="Q200" s="24" t="s">
        <v>239</v>
      </c>
      <c r="R200" s="26" t="s">
        <v>45</v>
      </c>
      <c r="S200" s="169"/>
    </row>
    <row r="201" spans="1:19" s="28" customFormat="1" ht="30" customHeight="1">
      <c r="A201" s="14">
        <f t="shared" si="6"/>
        <v>199</v>
      </c>
      <c r="B201" s="54" t="s">
        <v>115</v>
      </c>
      <c r="C201" s="54" t="s">
        <v>97</v>
      </c>
      <c r="D201" s="54" t="s">
        <v>116</v>
      </c>
      <c r="E201" s="62">
        <v>115875</v>
      </c>
      <c r="F201" s="63">
        <v>290</v>
      </c>
      <c r="G201" s="35">
        <v>54</v>
      </c>
      <c r="H201" s="35">
        <v>8.5</v>
      </c>
      <c r="I201" s="54" t="s">
        <v>400</v>
      </c>
      <c r="J201" s="55">
        <v>0.33333333333333331</v>
      </c>
      <c r="K201" s="56">
        <v>42695</v>
      </c>
      <c r="L201" s="55">
        <v>0.79166666666666663</v>
      </c>
      <c r="M201" s="22">
        <v>2600</v>
      </c>
      <c r="N201" s="40" t="s">
        <v>82</v>
      </c>
      <c r="O201" s="40" t="s">
        <v>129</v>
      </c>
      <c r="P201" s="54" t="s">
        <v>83</v>
      </c>
      <c r="Q201" s="24" t="s">
        <v>84</v>
      </c>
      <c r="R201" s="26" t="s">
        <v>34</v>
      </c>
      <c r="S201" s="27"/>
    </row>
    <row r="202" spans="1:19" s="28" customFormat="1" ht="30" customHeight="1">
      <c r="A202" s="14">
        <f t="shared" si="6"/>
        <v>200</v>
      </c>
      <c r="B202" s="15" t="s">
        <v>26</v>
      </c>
      <c r="C202" s="16" t="s">
        <v>27</v>
      </c>
      <c r="D202" s="16" t="s">
        <v>28</v>
      </c>
      <c r="E202" s="17">
        <v>167800</v>
      </c>
      <c r="F202" s="18">
        <v>348</v>
      </c>
      <c r="G202" s="60">
        <v>62.5</v>
      </c>
      <c r="H202" s="60">
        <v>8.5</v>
      </c>
      <c r="I202" s="20" t="s">
        <v>401</v>
      </c>
      <c r="J202" s="21">
        <v>0.33333333333333331</v>
      </c>
      <c r="K202" s="20">
        <v>42702</v>
      </c>
      <c r="L202" s="90">
        <v>0.75</v>
      </c>
      <c r="M202" s="39">
        <v>4152</v>
      </c>
      <c r="N202" s="65" t="s">
        <v>37</v>
      </c>
      <c r="O202" s="61" t="s">
        <v>44</v>
      </c>
      <c r="P202" s="25" t="s">
        <v>32</v>
      </c>
      <c r="Q202" s="24" t="s">
        <v>33</v>
      </c>
      <c r="R202" s="26" t="s">
        <v>34</v>
      </c>
      <c r="S202" s="184"/>
    </row>
    <row r="203" spans="1:19" s="28" customFormat="1" ht="30" customHeight="1" thickBot="1">
      <c r="A203" s="14">
        <f t="shared" si="6"/>
        <v>201</v>
      </c>
      <c r="B203" s="126" t="s">
        <v>115</v>
      </c>
      <c r="C203" s="126" t="s">
        <v>97</v>
      </c>
      <c r="D203" s="126" t="s">
        <v>116</v>
      </c>
      <c r="E203" s="200">
        <v>115875</v>
      </c>
      <c r="F203" s="201">
        <v>290</v>
      </c>
      <c r="G203" s="202">
        <v>54</v>
      </c>
      <c r="H203" s="202">
        <v>8.5</v>
      </c>
      <c r="I203" s="126" t="s">
        <v>402</v>
      </c>
      <c r="J203" s="166">
        <v>0.33333333333333331</v>
      </c>
      <c r="K203" s="164">
        <v>42704</v>
      </c>
      <c r="L203" s="166">
        <v>0.79166666666666663</v>
      </c>
      <c r="M203" s="42">
        <v>2600</v>
      </c>
      <c r="N203" s="117" t="s">
        <v>82</v>
      </c>
      <c r="O203" s="117" t="s">
        <v>327</v>
      </c>
      <c r="P203" s="126" t="s">
        <v>83</v>
      </c>
      <c r="Q203" s="44" t="s">
        <v>84</v>
      </c>
      <c r="R203" s="45" t="s">
        <v>34</v>
      </c>
      <c r="S203" s="46"/>
    </row>
    <row r="204" spans="1:19" s="28" customFormat="1" ht="30" customHeight="1">
      <c r="A204" s="14">
        <f t="shared" si="6"/>
        <v>202</v>
      </c>
      <c r="B204" s="54" t="s">
        <v>180</v>
      </c>
      <c r="C204" s="54" t="s">
        <v>181</v>
      </c>
      <c r="D204" s="54" t="s">
        <v>182</v>
      </c>
      <c r="E204" s="24">
        <v>65591</v>
      </c>
      <c r="F204" s="63">
        <v>274.89999999999998</v>
      </c>
      <c r="G204" s="64">
        <v>47</v>
      </c>
      <c r="H204" s="64">
        <v>6.8</v>
      </c>
      <c r="I204" s="84" t="s">
        <v>403</v>
      </c>
      <c r="J204" s="85">
        <v>0.5</v>
      </c>
      <c r="K204" s="84">
        <v>42709</v>
      </c>
      <c r="L204" s="86">
        <v>0.875</v>
      </c>
      <c r="M204" s="22">
        <v>2700</v>
      </c>
      <c r="N204" s="65" t="s">
        <v>82</v>
      </c>
      <c r="O204" s="65" t="s">
        <v>217</v>
      </c>
      <c r="P204" s="54" t="s">
        <v>238</v>
      </c>
      <c r="Q204" s="24" t="s">
        <v>239</v>
      </c>
      <c r="R204" s="26" t="s">
        <v>45</v>
      </c>
      <c r="S204" s="53"/>
    </row>
    <row r="205" spans="1:19" s="28" customFormat="1" ht="30" customHeight="1">
      <c r="A205" s="14">
        <f t="shared" si="6"/>
        <v>203</v>
      </c>
      <c r="B205" s="26" t="s">
        <v>26</v>
      </c>
      <c r="C205" s="26" t="s">
        <v>404</v>
      </c>
      <c r="D205" s="26" t="s">
        <v>28</v>
      </c>
      <c r="E205" s="33">
        <v>168700</v>
      </c>
      <c r="F205" s="34">
        <v>348</v>
      </c>
      <c r="G205" s="35">
        <v>62.5</v>
      </c>
      <c r="H205" s="35">
        <v>8.5</v>
      </c>
      <c r="I205" s="36" t="s">
        <v>405</v>
      </c>
      <c r="J205" s="37">
        <v>0.29166666666666669</v>
      </c>
      <c r="K205" s="36">
        <v>42711</v>
      </c>
      <c r="L205" s="38">
        <v>0.70833333333333337</v>
      </c>
      <c r="M205" s="39"/>
      <c r="N205" s="40" t="s">
        <v>37</v>
      </c>
      <c r="O205" s="40" t="s">
        <v>44</v>
      </c>
      <c r="P205" s="26" t="s">
        <v>406</v>
      </c>
      <c r="Q205" s="24" t="s">
        <v>33</v>
      </c>
      <c r="R205" s="26" t="s">
        <v>34</v>
      </c>
      <c r="S205" s="27"/>
    </row>
    <row r="206" spans="1:19" s="28" customFormat="1" ht="30" customHeight="1">
      <c r="A206" s="14">
        <f t="shared" si="6"/>
        <v>204</v>
      </c>
      <c r="B206" s="26" t="s">
        <v>26</v>
      </c>
      <c r="C206" s="26" t="s">
        <v>404</v>
      </c>
      <c r="D206" s="26" t="s">
        <v>407</v>
      </c>
      <c r="E206" s="33">
        <v>168700</v>
      </c>
      <c r="F206" s="34">
        <v>348</v>
      </c>
      <c r="G206" s="35">
        <v>62.5</v>
      </c>
      <c r="H206" s="35">
        <v>8.5</v>
      </c>
      <c r="I206" s="134" t="s">
        <v>408</v>
      </c>
      <c r="J206" s="203">
        <v>0.29166666666666669</v>
      </c>
      <c r="K206" s="134">
        <v>42715</v>
      </c>
      <c r="L206" s="135">
        <v>0.70833333333333337</v>
      </c>
      <c r="M206" s="39"/>
      <c r="N206" s="40" t="s">
        <v>44</v>
      </c>
      <c r="O206" s="40" t="s">
        <v>37</v>
      </c>
      <c r="P206" s="26" t="s">
        <v>406</v>
      </c>
      <c r="Q206" s="24" t="s">
        <v>33</v>
      </c>
      <c r="R206" s="26" t="s">
        <v>34</v>
      </c>
      <c r="S206" s="27"/>
    </row>
    <row r="207" spans="1:19" s="28" customFormat="1" ht="30" customHeight="1">
      <c r="A207" s="14">
        <f t="shared" si="6"/>
        <v>205</v>
      </c>
      <c r="B207" s="54" t="s">
        <v>115</v>
      </c>
      <c r="C207" s="54" t="s">
        <v>97</v>
      </c>
      <c r="D207" s="54" t="s">
        <v>116</v>
      </c>
      <c r="E207" s="62">
        <v>115875</v>
      </c>
      <c r="F207" s="63">
        <v>290</v>
      </c>
      <c r="G207" s="35">
        <v>54</v>
      </c>
      <c r="H207" s="35">
        <v>8.5</v>
      </c>
      <c r="I207" s="54" t="s">
        <v>409</v>
      </c>
      <c r="J207" s="103">
        <v>0.33333333333333331</v>
      </c>
      <c r="K207" s="36">
        <v>42718</v>
      </c>
      <c r="L207" s="103">
        <v>0.79166666666666663</v>
      </c>
      <c r="M207" s="39">
        <v>2600</v>
      </c>
      <c r="N207" s="40" t="s">
        <v>82</v>
      </c>
      <c r="O207" s="40" t="s">
        <v>37</v>
      </c>
      <c r="P207" s="54" t="s">
        <v>83</v>
      </c>
      <c r="Q207" s="24" t="s">
        <v>84</v>
      </c>
      <c r="R207" s="26" t="s">
        <v>34</v>
      </c>
      <c r="S207" s="169"/>
    </row>
    <row r="208" spans="1:19" s="28" customFormat="1" ht="30" customHeight="1">
      <c r="A208" s="14">
        <f t="shared" si="6"/>
        <v>206</v>
      </c>
      <c r="B208" s="26" t="s">
        <v>39</v>
      </c>
      <c r="C208" s="26" t="s">
        <v>40</v>
      </c>
      <c r="D208" s="26" t="s">
        <v>41</v>
      </c>
      <c r="E208" s="33">
        <v>72458</v>
      </c>
      <c r="F208" s="34">
        <v>245</v>
      </c>
      <c r="G208" s="35"/>
      <c r="H208" s="35">
        <v>7.5</v>
      </c>
      <c r="I208" s="56" t="s">
        <v>410</v>
      </c>
      <c r="J208" s="88">
        <v>0.33333333333333331</v>
      </c>
      <c r="K208" s="56">
        <v>42719</v>
      </c>
      <c r="L208" s="123">
        <v>0.70833333333333337</v>
      </c>
      <c r="M208" s="22">
        <v>1778</v>
      </c>
      <c r="N208" s="65" t="s">
        <v>44</v>
      </c>
      <c r="O208" s="61" t="s">
        <v>53</v>
      </c>
      <c r="P208" s="54" t="s">
        <v>32</v>
      </c>
      <c r="Q208" s="24" t="s">
        <v>33</v>
      </c>
      <c r="R208" s="26" t="s">
        <v>45</v>
      </c>
      <c r="S208" s="27"/>
    </row>
    <row r="209" spans="1:28" s="28" customFormat="1" ht="30" customHeight="1">
      <c r="A209" s="14">
        <f t="shared" si="6"/>
        <v>207</v>
      </c>
      <c r="B209" s="54" t="s">
        <v>26</v>
      </c>
      <c r="C209" s="54" t="s">
        <v>27</v>
      </c>
      <c r="D209" s="54" t="s">
        <v>28</v>
      </c>
      <c r="E209" s="62">
        <v>168700</v>
      </c>
      <c r="F209" s="63">
        <v>348</v>
      </c>
      <c r="G209" s="60">
        <v>62.5</v>
      </c>
      <c r="H209" s="60">
        <v>8.5</v>
      </c>
      <c r="I209" s="54" t="s">
        <v>411</v>
      </c>
      <c r="J209" s="55">
        <v>0.29166666666666669</v>
      </c>
      <c r="K209" s="56">
        <v>42720</v>
      </c>
      <c r="L209" s="55">
        <v>0.79166666666666663</v>
      </c>
      <c r="M209" s="39">
        <v>4152</v>
      </c>
      <c r="N209" s="65" t="s">
        <v>44</v>
      </c>
      <c r="O209" s="54" t="s">
        <v>37</v>
      </c>
      <c r="P209" s="23" t="s">
        <v>32</v>
      </c>
      <c r="Q209" s="24" t="s">
        <v>33</v>
      </c>
      <c r="R209" s="26" t="s">
        <v>34</v>
      </c>
      <c r="S209" s="27"/>
    </row>
    <row r="210" spans="1:28" s="28" customFormat="1" ht="30" customHeight="1">
      <c r="A210" s="14">
        <f t="shared" si="6"/>
        <v>208</v>
      </c>
      <c r="B210" s="54" t="s">
        <v>180</v>
      </c>
      <c r="C210" s="54" t="s">
        <v>181</v>
      </c>
      <c r="D210" s="54" t="s">
        <v>193</v>
      </c>
      <c r="E210" s="24">
        <v>65591</v>
      </c>
      <c r="F210" s="63">
        <v>274.89999999999998</v>
      </c>
      <c r="G210" s="64">
        <v>47</v>
      </c>
      <c r="H210" s="64">
        <v>6.8</v>
      </c>
      <c r="I210" s="56" t="s">
        <v>412</v>
      </c>
      <c r="J210" s="88">
        <v>0.5</v>
      </c>
      <c r="K210" s="56">
        <v>42722</v>
      </c>
      <c r="L210" s="123">
        <v>0.79166666666666663</v>
      </c>
      <c r="M210" s="22">
        <v>2700</v>
      </c>
      <c r="N210" s="65" t="s">
        <v>82</v>
      </c>
      <c r="O210" s="65" t="s">
        <v>184</v>
      </c>
      <c r="P210" s="54" t="s">
        <v>238</v>
      </c>
      <c r="Q210" s="24" t="s">
        <v>239</v>
      </c>
      <c r="R210" s="26" t="s">
        <v>45</v>
      </c>
      <c r="S210" s="27"/>
    </row>
    <row r="211" spans="1:28" s="28" customFormat="1" ht="30" customHeight="1">
      <c r="A211" s="14">
        <f t="shared" si="6"/>
        <v>209</v>
      </c>
      <c r="B211" s="54" t="s">
        <v>115</v>
      </c>
      <c r="C211" s="54" t="s">
        <v>97</v>
      </c>
      <c r="D211" s="54" t="s">
        <v>116</v>
      </c>
      <c r="E211" s="62">
        <v>115875</v>
      </c>
      <c r="F211" s="63">
        <v>290</v>
      </c>
      <c r="G211" s="35">
        <v>54</v>
      </c>
      <c r="H211" s="35">
        <v>8.5</v>
      </c>
      <c r="I211" s="54" t="s">
        <v>413</v>
      </c>
      <c r="J211" s="55">
        <v>0.33333333333333331</v>
      </c>
      <c r="K211" s="56">
        <v>42723</v>
      </c>
      <c r="L211" s="55">
        <v>0.79166666666666663</v>
      </c>
      <c r="M211" s="22">
        <v>2600</v>
      </c>
      <c r="N211" s="40" t="s">
        <v>44</v>
      </c>
      <c r="O211" s="26" t="s">
        <v>327</v>
      </c>
      <c r="P211" s="54" t="s">
        <v>83</v>
      </c>
      <c r="Q211" s="24" t="s">
        <v>84</v>
      </c>
      <c r="R211" s="26" t="s">
        <v>34</v>
      </c>
      <c r="S211" s="169"/>
      <c r="T211" s="80"/>
      <c r="U211" s="204"/>
      <c r="V211" s="204"/>
      <c r="W211" s="204"/>
      <c r="X211" s="204"/>
      <c r="Y211" s="204"/>
    </row>
    <row r="212" spans="1:28" s="28" customFormat="1" ht="30" customHeight="1">
      <c r="A212" s="14">
        <f t="shared" si="6"/>
        <v>210</v>
      </c>
      <c r="B212" s="54" t="s">
        <v>180</v>
      </c>
      <c r="C212" s="54" t="s">
        <v>181</v>
      </c>
      <c r="D212" s="54" t="s">
        <v>193</v>
      </c>
      <c r="E212" s="24">
        <v>65591</v>
      </c>
      <c r="F212" s="63">
        <v>274.89999999999998</v>
      </c>
      <c r="G212" s="64">
        <v>47</v>
      </c>
      <c r="H212" s="64">
        <v>6.8</v>
      </c>
      <c r="I212" s="84" t="s">
        <v>414</v>
      </c>
      <c r="J212" s="203">
        <v>0.5</v>
      </c>
      <c r="K212" s="134">
        <v>42727</v>
      </c>
      <c r="L212" s="135">
        <v>0.79166666666666663</v>
      </c>
      <c r="M212" s="22">
        <v>2700</v>
      </c>
      <c r="N212" s="40" t="s">
        <v>44</v>
      </c>
      <c r="O212" s="40" t="s">
        <v>44</v>
      </c>
      <c r="P212" s="54" t="s">
        <v>238</v>
      </c>
      <c r="Q212" s="24" t="s">
        <v>239</v>
      </c>
      <c r="R212" s="26" t="s">
        <v>45</v>
      </c>
      <c r="S212" s="27"/>
      <c r="U212" s="204"/>
      <c r="V212" s="204"/>
      <c r="W212" s="204"/>
      <c r="X212" s="204"/>
      <c r="Y212" s="204"/>
      <c r="Z212" s="204"/>
      <c r="AA212" s="204"/>
    </row>
    <row r="213" spans="1:28" s="28" customFormat="1" ht="22.5" customHeight="1">
      <c r="A213" s="14">
        <f t="shared" si="6"/>
        <v>211</v>
      </c>
      <c r="B213" s="54" t="s">
        <v>26</v>
      </c>
      <c r="C213" s="54" t="s">
        <v>27</v>
      </c>
      <c r="D213" s="54" t="s">
        <v>28</v>
      </c>
      <c r="E213" s="62">
        <v>168700</v>
      </c>
      <c r="F213" s="63">
        <v>348</v>
      </c>
      <c r="G213" s="60">
        <v>62.5</v>
      </c>
      <c r="H213" s="60">
        <v>8.5</v>
      </c>
      <c r="I213" s="124" t="s">
        <v>415</v>
      </c>
      <c r="J213" s="125">
        <v>0.375</v>
      </c>
      <c r="K213" s="84">
        <v>42731</v>
      </c>
      <c r="L213" s="125">
        <v>0.79166666666666663</v>
      </c>
      <c r="M213" s="22">
        <v>4152</v>
      </c>
      <c r="N213" s="65" t="s">
        <v>37</v>
      </c>
      <c r="O213" s="54" t="s">
        <v>44</v>
      </c>
      <c r="P213" s="23" t="s">
        <v>32</v>
      </c>
      <c r="Q213" s="24" t="s">
        <v>33</v>
      </c>
      <c r="R213" s="26" t="s">
        <v>34</v>
      </c>
      <c r="S213" s="27"/>
      <c r="T213" s="204"/>
      <c r="U213" s="204"/>
      <c r="V213" s="204"/>
      <c r="W213" s="204"/>
      <c r="X213" s="204"/>
      <c r="Y213" s="204"/>
      <c r="Z213" s="204"/>
      <c r="AA213" s="204"/>
    </row>
    <row r="214" spans="1:28" s="28" customFormat="1" ht="22.5" customHeight="1">
      <c r="A214" s="14">
        <f t="shared" si="6"/>
        <v>212</v>
      </c>
      <c r="B214" s="54" t="s">
        <v>180</v>
      </c>
      <c r="C214" s="54" t="s">
        <v>181</v>
      </c>
      <c r="D214" s="54" t="s">
        <v>193</v>
      </c>
      <c r="E214" s="24">
        <v>65591</v>
      </c>
      <c r="F214" s="63">
        <v>274.89999999999998</v>
      </c>
      <c r="G214" s="64">
        <v>47</v>
      </c>
      <c r="H214" s="64">
        <v>6.8</v>
      </c>
      <c r="I214" s="54" t="s">
        <v>416</v>
      </c>
      <c r="J214" s="85">
        <v>0.33333333333333331</v>
      </c>
      <c r="K214" s="56">
        <v>42733</v>
      </c>
      <c r="L214" s="86">
        <v>0.625</v>
      </c>
      <c r="M214" s="22">
        <v>2700</v>
      </c>
      <c r="N214" s="65" t="s">
        <v>82</v>
      </c>
      <c r="O214" s="65" t="s">
        <v>44</v>
      </c>
      <c r="P214" s="54" t="s">
        <v>238</v>
      </c>
      <c r="Q214" s="24" t="s">
        <v>239</v>
      </c>
      <c r="R214" s="54" t="s">
        <v>417</v>
      </c>
      <c r="S214" s="27"/>
      <c r="T214" s="204"/>
      <c r="U214" s="204"/>
      <c r="V214" s="204"/>
      <c r="W214" s="204"/>
      <c r="X214" s="204"/>
      <c r="Y214" s="204"/>
      <c r="Z214" s="204"/>
      <c r="AA214" s="204"/>
    </row>
    <row r="215" spans="1:28" s="204" customFormat="1" ht="22.5" customHeight="1" thickBot="1">
      <c r="A215" s="14">
        <f t="shared" si="6"/>
        <v>213</v>
      </c>
      <c r="B215" s="185" t="s">
        <v>26</v>
      </c>
      <c r="C215" s="185" t="s">
        <v>404</v>
      </c>
      <c r="D215" s="185" t="s">
        <v>407</v>
      </c>
      <c r="E215" s="205">
        <v>168700</v>
      </c>
      <c r="F215" s="187">
        <v>348</v>
      </c>
      <c r="G215" s="188">
        <v>62.5</v>
      </c>
      <c r="H215" s="188">
        <v>8.5</v>
      </c>
      <c r="I215" s="185" t="s">
        <v>418</v>
      </c>
      <c r="J215" s="206">
        <v>0.33333333333333331</v>
      </c>
      <c r="K215" s="189">
        <v>42735</v>
      </c>
      <c r="L215" s="206">
        <v>0.75</v>
      </c>
      <c r="M215" s="207"/>
      <c r="N215" s="208" t="s">
        <v>44</v>
      </c>
      <c r="O215" s="208" t="s">
        <v>37</v>
      </c>
      <c r="P215" s="45" t="s">
        <v>406</v>
      </c>
      <c r="Q215" s="44" t="s">
        <v>33</v>
      </c>
      <c r="R215" s="45" t="s">
        <v>34</v>
      </c>
      <c r="S215" s="46"/>
      <c r="AB215" s="28"/>
    </row>
    <row r="216" spans="1:28" s="204" customFormat="1" ht="22.5" customHeight="1">
      <c r="A216" s="14"/>
      <c r="B216" s="209"/>
      <c r="C216" s="209"/>
      <c r="D216" s="209"/>
      <c r="E216" s="210"/>
      <c r="F216" s="211"/>
      <c r="G216" s="212"/>
      <c r="H216" s="212"/>
      <c r="I216" s="209"/>
      <c r="J216" s="213"/>
      <c r="K216" s="214"/>
      <c r="L216" s="213"/>
      <c r="M216" s="215"/>
      <c r="N216" s="216"/>
      <c r="O216" s="216"/>
      <c r="P216" s="209"/>
      <c r="Q216" s="217"/>
      <c r="R216" s="209"/>
      <c r="S216" s="218"/>
      <c r="AA216" s="28"/>
    </row>
    <row r="217" spans="1:28" s="204" customFormat="1" ht="22.5" customHeight="1" thickBot="1">
      <c r="A217" s="14"/>
      <c r="B217" s="28" t="s">
        <v>419</v>
      </c>
      <c r="C217" s="219"/>
      <c r="D217" s="220"/>
      <c r="E217" s="221"/>
      <c r="F217" s="222"/>
      <c r="G217" s="222"/>
      <c r="H217" s="224"/>
      <c r="I217" s="219"/>
      <c r="J217" s="219"/>
      <c r="K217" s="219"/>
      <c r="L217" s="57"/>
      <c r="M217" s="57"/>
      <c r="N217" s="28"/>
      <c r="O217" s="28"/>
      <c r="P217" s="219"/>
      <c r="Q217" s="219"/>
      <c r="R217" s="28"/>
      <c r="S217" s="28"/>
      <c r="AA217" s="28"/>
    </row>
    <row r="218" spans="1:28" s="204" customFormat="1" ht="22.5" customHeight="1">
      <c r="A218" s="14"/>
      <c r="B218" s="223" t="s">
        <v>420</v>
      </c>
      <c r="C218" s="219"/>
      <c r="D218" s="220"/>
      <c r="E218" s="221"/>
      <c r="F218" s="222"/>
      <c r="G218" s="222"/>
      <c r="H218" s="222"/>
      <c r="I218" s="224"/>
      <c r="J218" s="219"/>
      <c r="K218" s="219"/>
      <c r="L218" s="219"/>
      <c r="M218" s="57"/>
      <c r="N218" s="28"/>
      <c r="O218" s="28"/>
      <c r="P218" s="219"/>
      <c r="Q218" s="219"/>
      <c r="R218" s="28"/>
      <c r="S218" s="28"/>
    </row>
    <row r="219" spans="1:28" s="204" customFormat="1" ht="22.5" customHeight="1">
      <c r="A219" s="28"/>
      <c r="B219" s="225" t="s">
        <v>421</v>
      </c>
      <c r="C219" s="219"/>
      <c r="D219" s="220"/>
      <c r="E219" s="221"/>
      <c r="F219" s="222"/>
      <c r="G219" s="222"/>
      <c r="H219" s="222"/>
      <c r="I219" s="224"/>
      <c r="J219" s="219"/>
      <c r="K219" s="219"/>
      <c r="L219" s="219"/>
      <c r="M219" s="57"/>
      <c r="N219" s="28"/>
      <c r="O219" s="28"/>
      <c r="P219" s="219"/>
      <c r="Q219" s="219"/>
      <c r="R219" s="28"/>
    </row>
    <row r="220" spans="1:28" s="204" customFormat="1" ht="22.5" customHeight="1" thickBot="1">
      <c r="A220" s="28"/>
      <c r="B220" s="226" t="s">
        <v>422</v>
      </c>
      <c r="C220" s="219"/>
      <c r="D220" s="220"/>
      <c r="E220" s="221"/>
      <c r="F220" s="222"/>
      <c r="G220" s="222"/>
      <c r="H220" s="222"/>
      <c r="I220" s="224"/>
      <c r="J220" s="219"/>
      <c r="K220" s="219"/>
      <c r="L220" s="219"/>
      <c r="M220" s="57"/>
      <c r="N220" s="28"/>
      <c r="O220" s="28"/>
      <c r="P220" s="219"/>
      <c r="Q220" s="219"/>
      <c r="R220" s="28"/>
    </row>
    <row r="221" spans="1:28" s="204" customFormat="1" ht="22.5" customHeight="1">
      <c r="A221" s="28"/>
      <c r="B221" s="219"/>
      <c r="C221" s="219"/>
      <c r="D221" s="219"/>
      <c r="E221" s="220"/>
      <c r="F221" s="221"/>
      <c r="G221" s="222"/>
      <c r="H221" s="222"/>
      <c r="I221" s="222"/>
      <c r="J221" s="224"/>
      <c r="K221" s="219"/>
      <c r="L221" s="219"/>
      <c r="M221" s="224"/>
      <c r="N221" s="28"/>
      <c r="O221" s="28"/>
      <c r="P221" s="219"/>
      <c r="Q221" s="219"/>
      <c r="R221" s="219"/>
      <c r="S221" s="28"/>
    </row>
    <row r="222" spans="1:28" s="204" customFormat="1" ht="22.5" customHeight="1">
      <c r="A222" s="28"/>
      <c r="B222" s="219"/>
      <c r="C222" s="219"/>
      <c r="D222" s="219"/>
      <c r="E222" s="220"/>
      <c r="F222" s="221"/>
      <c r="G222" s="222"/>
      <c r="H222" s="222"/>
      <c r="I222" s="219"/>
      <c r="J222" s="219"/>
      <c r="K222" s="219"/>
      <c r="L222" s="219"/>
      <c r="M222" s="57"/>
      <c r="N222" s="28"/>
      <c r="O222" s="28"/>
      <c r="P222" s="219"/>
      <c r="Q222" s="219"/>
      <c r="R222" s="219"/>
      <c r="S222" s="28"/>
    </row>
    <row r="223" spans="1:28" s="204" customFormat="1" ht="22.5" customHeight="1">
      <c r="A223" s="28"/>
      <c r="B223" s="219"/>
      <c r="C223" s="219"/>
      <c r="D223" s="219"/>
      <c r="E223" s="220"/>
      <c r="F223" s="227"/>
      <c r="G223" s="228"/>
      <c r="H223" s="228"/>
      <c r="I223" s="219"/>
      <c r="J223" s="219"/>
      <c r="K223" s="219"/>
      <c r="L223" s="229"/>
      <c r="M223" s="57"/>
      <c r="N223" s="28"/>
      <c r="O223" s="28"/>
      <c r="P223" s="219"/>
      <c r="Q223" s="219"/>
      <c r="R223" s="219"/>
      <c r="S223" s="28"/>
    </row>
    <row r="224" spans="1:28" s="204" customFormat="1" ht="22.5" customHeight="1">
      <c r="A224" s="28"/>
      <c r="B224" s="219"/>
      <c r="C224" s="219"/>
      <c r="D224" s="2"/>
      <c r="E224" s="220"/>
      <c r="F224" s="221"/>
      <c r="G224" s="222"/>
      <c r="H224" s="222"/>
      <c r="I224" s="219"/>
      <c r="J224" s="219"/>
      <c r="K224" s="219"/>
      <c r="L224" s="219"/>
      <c r="M224" s="57"/>
      <c r="N224" s="230"/>
      <c r="O224" s="230"/>
      <c r="P224" s="2"/>
      <c r="Q224" s="2"/>
      <c r="R224" s="2"/>
      <c r="S224" s="230"/>
      <c r="U224" s="230"/>
      <c r="V224" s="230"/>
      <c r="W224" s="230"/>
      <c r="X224" s="230"/>
      <c r="Y224" s="230"/>
    </row>
    <row r="225" spans="1:28" s="204" customFormat="1" ht="22.5" customHeight="1">
      <c r="A225" s="28"/>
      <c r="B225" s="219"/>
      <c r="C225" s="219"/>
      <c r="D225" s="2"/>
      <c r="E225" s="220"/>
      <c r="F225" s="221"/>
      <c r="G225" s="222"/>
      <c r="H225" s="222"/>
      <c r="I225" s="219"/>
      <c r="J225" s="219"/>
      <c r="K225" s="219"/>
      <c r="L225" s="219"/>
      <c r="M225" s="57"/>
      <c r="N225" s="230"/>
      <c r="O225" s="230"/>
      <c r="P225" s="2"/>
      <c r="Q225" s="2"/>
      <c r="R225" s="2"/>
      <c r="S225" s="230"/>
      <c r="U225" s="230"/>
      <c r="V225" s="230"/>
      <c r="W225" s="230"/>
      <c r="X225" s="230"/>
      <c r="Y225" s="230"/>
      <c r="Z225" s="230"/>
      <c r="AA225" s="230"/>
    </row>
    <row r="226" spans="1:28" s="204" customFormat="1" ht="22.5" customHeight="1">
      <c r="A226" s="230"/>
      <c r="B226" s="230"/>
      <c r="C226" s="219"/>
      <c r="D226" s="219"/>
      <c r="E226" s="231"/>
      <c r="F226" s="227"/>
      <c r="G226" s="228"/>
      <c r="H226" s="228"/>
      <c r="I226" s="217"/>
      <c r="J226" s="219"/>
      <c r="K226" s="219"/>
      <c r="L226" s="219"/>
      <c r="M226" s="224"/>
      <c r="N226" s="230"/>
      <c r="O226" s="230"/>
      <c r="P226" s="230"/>
      <c r="Q226" s="2"/>
      <c r="R226" s="2"/>
      <c r="S226" s="230"/>
      <c r="Z226" s="230"/>
      <c r="AA226" s="230"/>
    </row>
    <row r="227" spans="1:28" s="204" customFormat="1" ht="22.5" customHeight="1">
      <c r="A227" s="230"/>
      <c r="B227" s="219"/>
      <c r="C227" s="219"/>
      <c r="D227" s="2"/>
      <c r="E227" s="220"/>
      <c r="F227" s="221"/>
      <c r="G227" s="222"/>
      <c r="H227" s="222"/>
      <c r="I227" s="219"/>
      <c r="J227" s="219"/>
      <c r="K227" s="219"/>
      <c r="L227" s="219"/>
      <c r="M227" s="57"/>
      <c r="N227" s="230"/>
      <c r="O227" s="230"/>
      <c r="P227" s="2"/>
      <c r="Q227" s="2"/>
      <c r="R227" s="2"/>
      <c r="S227" s="230"/>
    </row>
    <row r="228" spans="1:28" s="230" customFormat="1" ht="22.5" customHeight="1">
      <c r="B228" s="219"/>
      <c r="C228" s="219"/>
      <c r="D228" s="2"/>
      <c r="E228" s="220"/>
      <c r="F228" s="221"/>
      <c r="G228" s="222"/>
      <c r="H228" s="222"/>
      <c r="I228" s="219"/>
      <c r="J228" s="219"/>
      <c r="K228" s="219"/>
      <c r="L228" s="219"/>
      <c r="M228" s="57"/>
      <c r="P228" s="2"/>
      <c r="Q228" s="2"/>
      <c r="R228" s="2"/>
      <c r="Z228" s="204"/>
      <c r="AA228" s="204"/>
      <c r="AB228" s="204"/>
    </row>
    <row r="229" spans="1:28" s="230" customFormat="1" ht="22.5" customHeight="1">
      <c r="B229" s="219"/>
      <c r="C229" s="219"/>
      <c r="D229" s="2"/>
      <c r="E229" s="220"/>
      <c r="F229" s="221"/>
      <c r="G229" s="222"/>
      <c r="H229" s="222"/>
      <c r="I229" s="219"/>
      <c r="J229" s="219"/>
      <c r="K229" s="219"/>
      <c r="L229" s="219"/>
      <c r="M229" s="57"/>
      <c r="P229" s="2"/>
      <c r="Q229" s="2"/>
      <c r="R229" s="2"/>
    </row>
    <row r="230" spans="1:28" s="204" customFormat="1" ht="22.5" customHeight="1">
      <c r="A230" s="230"/>
      <c r="B230" s="219"/>
      <c r="C230" s="219"/>
      <c r="D230" s="2"/>
      <c r="E230" s="220"/>
      <c r="F230" s="221"/>
      <c r="G230" s="222"/>
      <c r="H230" s="222"/>
      <c r="I230" s="219"/>
      <c r="J230" s="219"/>
      <c r="K230" s="219"/>
      <c r="L230" s="219"/>
      <c r="M230" s="57"/>
      <c r="N230" s="230"/>
      <c r="O230" s="230"/>
      <c r="P230" s="2"/>
      <c r="Q230" s="2"/>
      <c r="R230" s="2"/>
      <c r="S230" s="230"/>
      <c r="U230" s="230"/>
      <c r="V230" s="230"/>
      <c r="W230" s="230"/>
      <c r="X230" s="230"/>
      <c r="Y230" s="230"/>
      <c r="Z230" s="230"/>
      <c r="AA230" s="230"/>
      <c r="AB230" s="230"/>
    </row>
    <row r="231" spans="1:28" s="204" customFormat="1" ht="22.5" customHeight="1">
      <c r="A231" s="230"/>
      <c r="B231" s="219"/>
      <c r="C231" s="219"/>
      <c r="D231" s="2"/>
      <c r="E231" s="220"/>
      <c r="F231" s="221"/>
      <c r="G231" s="222"/>
      <c r="H231" s="222"/>
      <c r="I231" s="219"/>
      <c r="J231" s="219"/>
      <c r="K231" s="219"/>
      <c r="L231" s="219"/>
      <c r="M231" s="57"/>
      <c r="N231" s="230"/>
      <c r="O231" s="230"/>
      <c r="P231" s="2"/>
      <c r="Q231" s="2"/>
      <c r="R231" s="2"/>
      <c r="S231" s="230"/>
      <c r="Z231" s="230"/>
      <c r="AA231" s="230"/>
    </row>
    <row r="232" spans="1:28" s="230" customFormat="1" ht="22.5" customHeight="1">
      <c r="B232" s="219"/>
      <c r="C232" s="219"/>
      <c r="D232" s="2"/>
      <c r="E232" s="220"/>
      <c r="F232" s="221"/>
      <c r="G232" s="222"/>
      <c r="H232" s="222"/>
      <c r="I232" s="219"/>
      <c r="J232" s="219"/>
      <c r="K232" s="219"/>
      <c r="L232" s="219"/>
      <c r="M232" s="57"/>
      <c r="P232" s="2"/>
      <c r="Q232" s="2"/>
      <c r="R232" s="2"/>
      <c r="U232" s="204"/>
      <c r="V232" s="204"/>
      <c r="W232" s="204"/>
      <c r="X232" s="204"/>
      <c r="Y232" s="204"/>
      <c r="Z232" s="204"/>
      <c r="AA232" s="204"/>
      <c r="AB232" s="204"/>
    </row>
    <row r="233" spans="1:28" s="230" customFormat="1" ht="22.5" customHeight="1">
      <c r="B233" s="219"/>
      <c r="C233" s="219"/>
      <c r="D233" s="2"/>
      <c r="E233" s="220"/>
      <c r="F233" s="221"/>
      <c r="G233" s="222"/>
      <c r="H233" s="222"/>
      <c r="I233" s="219"/>
      <c r="J233" s="219"/>
      <c r="K233" s="219"/>
      <c r="L233" s="219"/>
      <c r="M233" s="57"/>
      <c r="P233" s="2"/>
      <c r="Q233" s="2"/>
      <c r="R233" s="2"/>
      <c r="Z233" s="204"/>
      <c r="AA233" s="204"/>
    </row>
    <row r="234" spans="1:28" s="230" customFormat="1" ht="22.5" customHeight="1">
      <c r="B234" s="219"/>
      <c r="C234" s="219"/>
      <c r="D234" s="2"/>
      <c r="E234" s="220"/>
      <c r="F234" s="221"/>
      <c r="G234" s="222"/>
      <c r="H234" s="222"/>
      <c r="I234" s="219"/>
      <c r="J234" s="219"/>
      <c r="K234" s="219"/>
      <c r="L234" s="219"/>
      <c r="M234" s="57"/>
      <c r="P234" s="2"/>
      <c r="Q234" s="2"/>
      <c r="R234" s="2"/>
    </row>
    <row r="235" spans="1:28" s="204" customFormat="1" ht="22.5" customHeight="1">
      <c r="A235" s="230"/>
      <c r="B235" s="219"/>
      <c r="C235" s="219"/>
      <c r="D235" s="2"/>
      <c r="E235" s="220"/>
      <c r="F235" s="221"/>
      <c r="G235" s="222"/>
      <c r="H235" s="222"/>
      <c r="I235" s="219"/>
      <c r="J235" s="219"/>
      <c r="K235" s="219"/>
      <c r="L235" s="219"/>
      <c r="M235" s="57"/>
      <c r="N235" s="230"/>
      <c r="O235" s="230"/>
      <c r="P235" s="2"/>
      <c r="Q235" s="2"/>
      <c r="R235" s="2"/>
      <c r="S235" s="230"/>
      <c r="U235" s="230"/>
      <c r="V235" s="230"/>
      <c r="W235" s="230"/>
      <c r="X235" s="230"/>
      <c r="Y235" s="230"/>
      <c r="Z235" s="230"/>
      <c r="AA235" s="230"/>
      <c r="AB235" s="230"/>
    </row>
    <row r="236" spans="1:28" s="204" customFormat="1" ht="22.5" customHeight="1">
      <c r="A236" s="230"/>
      <c r="B236" s="219"/>
      <c r="C236" s="219"/>
      <c r="D236" s="2"/>
      <c r="E236" s="220"/>
      <c r="F236" s="221"/>
      <c r="G236" s="222"/>
      <c r="H236" s="222"/>
      <c r="I236" s="219"/>
      <c r="J236" s="219"/>
      <c r="K236" s="219"/>
      <c r="L236" s="219"/>
      <c r="M236" s="57"/>
      <c r="N236" s="230"/>
      <c r="O236" s="230"/>
      <c r="P236" s="2"/>
      <c r="Q236" s="2"/>
      <c r="R236" s="2"/>
      <c r="S236" s="230"/>
      <c r="U236" s="230"/>
      <c r="V236" s="230"/>
      <c r="W236" s="230"/>
      <c r="X236" s="230"/>
      <c r="Y236" s="230"/>
      <c r="Z236" s="230"/>
      <c r="AA236" s="230"/>
    </row>
    <row r="237" spans="1:28" s="230" customFormat="1" ht="22.5" customHeight="1">
      <c r="B237" s="219"/>
      <c r="C237" s="219"/>
      <c r="D237" s="2"/>
      <c r="E237" s="220"/>
      <c r="F237" s="221"/>
      <c r="G237" s="222"/>
      <c r="H237" s="222"/>
      <c r="I237" s="219"/>
      <c r="J237" s="219"/>
      <c r="K237" s="219"/>
      <c r="L237" s="219"/>
      <c r="M237" s="57"/>
      <c r="P237" s="2"/>
      <c r="Q237" s="2"/>
      <c r="R237" s="2"/>
      <c r="U237" s="219"/>
      <c r="V237" s="219"/>
      <c r="W237" s="219"/>
      <c r="X237" s="219"/>
      <c r="Y237" s="219"/>
      <c r="AB237" s="204"/>
    </row>
    <row r="238" spans="1:28" s="230" customFormat="1" ht="22.5" customHeight="1">
      <c r="B238" s="219"/>
      <c r="C238" s="219"/>
      <c r="D238" s="2"/>
      <c r="E238" s="220"/>
      <c r="F238" s="221"/>
      <c r="G238" s="222"/>
      <c r="H238" s="222"/>
      <c r="I238" s="219"/>
      <c r="J238" s="219"/>
      <c r="K238" s="219"/>
      <c r="L238" s="219"/>
      <c r="M238" s="57"/>
      <c r="P238" s="2"/>
      <c r="Q238" s="2"/>
      <c r="R238" s="2"/>
      <c r="U238" s="219"/>
      <c r="V238" s="219"/>
      <c r="W238" s="219"/>
      <c r="X238" s="219"/>
      <c r="Y238" s="219"/>
      <c r="Z238" s="219"/>
      <c r="AA238" s="219"/>
    </row>
    <row r="239" spans="1:28" s="230" customFormat="1" ht="22.5" customHeight="1">
      <c r="B239" s="219"/>
      <c r="C239" s="219"/>
      <c r="D239" s="2"/>
      <c r="E239" s="220"/>
      <c r="F239" s="221"/>
      <c r="G239" s="222"/>
      <c r="H239" s="222"/>
      <c r="I239" s="219"/>
      <c r="J239" s="219"/>
      <c r="K239" s="219"/>
      <c r="L239" s="219"/>
      <c r="M239" s="57"/>
      <c r="P239" s="2"/>
      <c r="Q239" s="2"/>
      <c r="R239" s="2"/>
      <c r="U239" s="219"/>
      <c r="V239" s="219"/>
      <c r="W239" s="219"/>
      <c r="X239" s="219"/>
      <c r="Y239" s="219"/>
      <c r="Z239" s="219"/>
      <c r="AA239" s="219"/>
    </row>
    <row r="240" spans="1:28" s="230" customFormat="1" ht="22.5" customHeight="1">
      <c r="B240" s="219"/>
      <c r="C240" s="219"/>
      <c r="D240" s="2"/>
      <c r="E240" s="220"/>
      <c r="F240" s="221"/>
      <c r="G240" s="222"/>
      <c r="H240" s="222"/>
      <c r="I240" s="219"/>
      <c r="J240" s="219"/>
      <c r="K240" s="219"/>
      <c r="L240" s="219"/>
      <c r="M240" s="57"/>
      <c r="P240" s="2"/>
      <c r="Q240" s="2"/>
      <c r="R240" s="2"/>
      <c r="U240" s="219"/>
      <c r="V240" s="219"/>
      <c r="W240" s="219"/>
      <c r="X240" s="219"/>
      <c r="Y240" s="219"/>
      <c r="Z240" s="219"/>
      <c r="AA240" s="219"/>
    </row>
    <row r="241" spans="1:28" s="219" customFormat="1">
      <c r="A241" s="230"/>
      <c r="D241" s="2"/>
      <c r="E241" s="220"/>
      <c r="F241" s="221"/>
      <c r="G241" s="222"/>
      <c r="H241" s="222"/>
      <c r="M241" s="57"/>
      <c r="N241" s="230"/>
      <c r="O241" s="230"/>
      <c r="P241" s="2"/>
      <c r="Q241" s="2"/>
      <c r="R241" s="2"/>
      <c r="S241" s="230"/>
      <c r="AB241" s="230"/>
    </row>
    <row r="242" spans="1:28" s="219" customFormat="1">
      <c r="A242" s="230"/>
      <c r="D242" s="2"/>
      <c r="E242" s="220"/>
      <c r="F242" s="221"/>
      <c r="G242" s="222"/>
      <c r="H242" s="222"/>
      <c r="M242" s="57"/>
      <c r="N242" s="230"/>
      <c r="O242" s="230"/>
      <c r="P242" s="2"/>
      <c r="Q242" s="2"/>
      <c r="R242" s="2"/>
      <c r="S242" s="230"/>
    </row>
    <row r="243" spans="1:28" s="219" customFormat="1">
      <c r="A243" s="230"/>
      <c r="D243" s="2"/>
      <c r="E243" s="220"/>
      <c r="F243" s="221"/>
      <c r="G243" s="222"/>
      <c r="H243" s="222"/>
      <c r="M243" s="57"/>
      <c r="N243" s="230"/>
      <c r="O243" s="230"/>
      <c r="P243" s="2"/>
      <c r="Q243" s="2"/>
      <c r="R243" s="2"/>
      <c r="S243" s="230"/>
    </row>
    <row r="244" spans="1:28" s="219" customFormat="1">
      <c r="A244" s="230"/>
      <c r="D244" s="2"/>
      <c r="E244" s="220"/>
      <c r="F244" s="221"/>
      <c r="G244" s="222"/>
      <c r="H244" s="222"/>
      <c r="M244" s="57"/>
      <c r="N244" s="230"/>
      <c r="O244" s="230"/>
      <c r="P244" s="2"/>
      <c r="Q244" s="2"/>
      <c r="R244" s="2"/>
      <c r="S244" s="230"/>
    </row>
    <row r="245" spans="1:28" s="219" customFormat="1">
      <c r="A245" s="230"/>
      <c r="D245" s="2"/>
      <c r="E245" s="220"/>
      <c r="F245" s="221"/>
      <c r="G245" s="222"/>
      <c r="H245" s="222"/>
      <c r="M245" s="57"/>
      <c r="N245" s="230"/>
      <c r="O245" s="230"/>
      <c r="P245" s="2"/>
      <c r="Q245" s="2"/>
      <c r="R245" s="2"/>
      <c r="S245" s="230"/>
      <c r="U245" s="2"/>
      <c r="V245" s="2"/>
      <c r="W245" s="2"/>
      <c r="X245" s="2"/>
      <c r="Y245" s="2"/>
    </row>
    <row r="246" spans="1:28" s="219" customFormat="1">
      <c r="A246" s="230"/>
      <c r="D246" s="2"/>
      <c r="E246" s="220"/>
      <c r="F246" s="221"/>
      <c r="G246" s="222"/>
      <c r="H246" s="222"/>
      <c r="M246" s="57"/>
      <c r="N246" s="230"/>
      <c r="O246" s="230"/>
      <c r="P246" s="2"/>
      <c r="Q246" s="2"/>
      <c r="R246" s="2"/>
      <c r="S246" s="230"/>
      <c r="U246" s="2"/>
      <c r="V246" s="2"/>
      <c r="W246" s="2"/>
      <c r="X246" s="2"/>
      <c r="Y246" s="2"/>
      <c r="Z246" s="2"/>
      <c r="AA246" s="2"/>
    </row>
    <row r="247" spans="1:28" s="219" customFormat="1">
      <c r="A247" s="230"/>
      <c r="D247" s="2"/>
      <c r="E247" s="220"/>
      <c r="F247" s="221"/>
      <c r="G247" s="222"/>
      <c r="H247" s="222"/>
      <c r="M247" s="57"/>
      <c r="N247" s="230"/>
      <c r="O247" s="230"/>
      <c r="P247" s="2"/>
      <c r="Q247" s="2"/>
      <c r="R247" s="2"/>
      <c r="S247" s="230"/>
      <c r="U247" s="2"/>
      <c r="V247" s="2"/>
      <c r="W247" s="2"/>
      <c r="X247" s="2"/>
      <c r="Y247" s="2"/>
      <c r="Z247" s="2"/>
      <c r="AA247" s="2"/>
    </row>
    <row r="248" spans="1:28" s="219" customFormat="1">
      <c r="A248" s="230"/>
      <c r="D248" s="2"/>
      <c r="E248" s="220"/>
      <c r="F248" s="221"/>
      <c r="G248" s="222"/>
      <c r="H248" s="222"/>
      <c r="M248" s="57"/>
      <c r="N248" s="230"/>
      <c r="O248" s="230"/>
      <c r="P248" s="2"/>
      <c r="Q248" s="2"/>
      <c r="R248" s="2"/>
      <c r="S248" s="230"/>
      <c r="U248" s="2"/>
      <c r="V248" s="2"/>
      <c r="W248" s="2"/>
      <c r="X248" s="2"/>
      <c r="Y248" s="2"/>
      <c r="Z248" s="2"/>
      <c r="AA248" s="2"/>
    </row>
    <row r="249" spans="1:28">
      <c r="AB249" s="219"/>
    </row>
  </sheetData>
  <autoFilter ref="A2:S223"/>
  <mergeCells count="1">
    <mergeCell ref="A1:Q1"/>
  </mergeCells>
  <phoneticPr fontId="4" type="noConversion"/>
  <pageMargins left="0.27559055118110237" right="0.19685039370078741" top="0.43307086614173229" bottom="0.27559055118110237" header="0.51181102362204722" footer="0.51181102362204722"/>
  <pageSetup paperSize="8" scale="4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2016년</vt:lpstr>
      <vt:lpstr>'2016년'!Print_Area</vt:lpstr>
      <vt:lpstr>'2016년'!Print_Titles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jwchoi</cp:lastModifiedBy>
  <dcterms:created xsi:type="dcterms:W3CDTF">2016-09-09T09:17:43Z</dcterms:created>
  <dcterms:modified xsi:type="dcterms:W3CDTF">2016-10-09T04:06:32Z</dcterms:modified>
</cp:coreProperties>
</file>